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11340" windowHeight="6795" tabRatio="602" activeTab="0"/>
  </bookViews>
  <sheets>
    <sheet name="Western0311" sheetId="1" r:id="rId1"/>
    <sheet name="Central0311" sheetId="2" r:id="rId2"/>
    <sheet name="Eastern0311" sheetId="3" r:id="rId3"/>
  </sheets>
  <definedNames/>
  <calcPr fullCalcOnLoad="1"/>
</workbook>
</file>

<file path=xl/sharedStrings.xml><?xml version="1.0" encoding="utf-8"?>
<sst xmlns="http://schemas.openxmlformats.org/spreadsheetml/2006/main" count="870" uniqueCount="90">
  <si>
    <t>Trends in Missouri Medicaid Quality Indicators:</t>
  </si>
  <si>
    <t>Baseline</t>
  </si>
  <si>
    <t>Trimester Prenatal Care Began</t>
  </si>
  <si>
    <t>Calendar Year 1995</t>
  </si>
  <si>
    <t>Calendar Year 1996</t>
  </si>
  <si>
    <t>Significant</t>
  </si>
  <si>
    <t xml:space="preserve">Births </t>
  </si>
  <si>
    <t>Percent</t>
  </si>
  <si>
    <t>Births</t>
  </si>
  <si>
    <t>Change***</t>
  </si>
  <si>
    <t>First</t>
  </si>
  <si>
    <t>Yes</t>
  </si>
  <si>
    <t>Second</t>
  </si>
  <si>
    <t>Third</t>
  </si>
  <si>
    <t>No</t>
  </si>
  <si>
    <t>None</t>
  </si>
  <si>
    <t xml:space="preserve"> </t>
  </si>
  <si>
    <t>Total</t>
  </si>
  <si>
    <t>Inadequate Prenatal Care</t>
  </si>
  <si>
    <t>Birth Weight (grams)</t>
  </si>
  <si>
    <t>2500+</t>
  </si>
  <si>
    <t xml:space="preserve">Low Birth Weight(&lt;2500 grams) </t>
  </si>
  <si>
    <t>Method of Delivery</t>
  </si>
  <si>
    <t>C-Section</t>
  </si>
  <si>
    <t>VBAC</t>
  </si>
  <si>
    <t>Smoking During Pregnancy</t>
  </si>
  <si>
    <t>Spacing &lt;18 mos. since last birth</t>
  </si>
  <si>
    <t>Births to mothers &lt;18 years of age</t>
  </si>
  <si>
    <t>Repeat teen births</t>
  </si>
  <si>
    <t>Percent of prenatals on WIC</t>
  </si>
  <si>
    <t>VLBW not delivered in level III hospitals</t>
  </si>
  <si>
    <t>Number</t>
  </si>
  <si>
    <t>Rate</t>
  </si>
  <si>
    <t>NA</t>
  </si>
  <si>
    <t>Asthma admissions under age 18</t>
  </si>
  <si>
    <t xml:space="preserve">     Inpatient admissions (2)</t>
  </si>
  <si>
    <t>Asthma admissions 4-17</t>
  </si>
  <si>
    <t>Asthma emergency room visits 4-17</t>
  </si>
  <si>
    <t>Asthma admissions ages 18-64</t>
  </si>
  <si>
    <t>Emergency room visits under age 18 (2)</t>
  </si>
  <si>
    <t>Emergency room visits ages 18-64 (2)</t>
  </si>
  <si>
    <t>Hysterectomies (2)</t>
  </si>
  <si>
    <t>Preventable hospitalizations under age 18(2)</t>
  </si>
  <si>
    <t>(1) Rate per 1000 live births</t>
  </si>
  <si>
    <t>(2) Rate per 1000 population</t>
  </si>
  <si>
    <t>Fiscal Year 1994</t>
  </si>
  <si>
    <t>Fiscal Year 1995</t>
  </si>
  <si>
    <t>VLBW not delivered in level III hospitals.</t>
  </si>
  <si>
    <t xml:space="preserve">Low Birth Weight (&lt;2500 grams) </t>
  </si>
  <si>
    <t xml:space="preserve">Source: Missouri Department of Health and Senior Services  </t>
  </si>
  <si>
    <t>Calendar Year 2005</t>
  </si>
  <si>
    <t>Calendar Year 2006</t>
  </si>
  <si>
    <t>Calendar Year 2007</t>
  </si>
  <si>
    <t>&lt;1500</t>
  </si>
  <si>
    <t>1500-2499</t>
  </si>
  <si>
    <t>&lt;32 weeks</t>
  </si>
  <si>
    <t>32-36 weeks</t>
  </si>
  <si>
    <t>Gestational Age (weeks)</t>
  </si>
  <si>
    <t>Pre-pregnancy weight &gt; 30 BMI (obese)</t>
  </si>
  <si>
    <t>Births to mothers aged 35 or more</t>
  </si>
  <si>
    <t xml:space="preserve">&lt;1500 </t>
  </si>
  <si>
    <t>Gestational Age ( weeks)</t>
  </si>
  <si>
    <t>Pre-pregnancy weight &gt;30 BMI (obese)</t>
  </si>
  <si>
    <t>Pre-pregnancy weight &gt;30 /BMI (obese)</t>
  </si>
  <si>
    <t>Births to mothers aged 30 or more</t>
  </si>
  <si>
    <t>Asthma emergency room visits 0-3</t>
  </si>
  <si>
    <t>Trends in Missouri Mo HealthNet Quality Indicators:</t>
  </si>
  <si>
    <r>
      <t>Eastern Region</t>
    </r>
    <r>
      <rPr>
        <b/>
        <u val="single"/>
        <sz val="11"/>
        <rFont val="Arial"/>
        <family val="2"/>
      </rPr>
      <t xml:space="preserve"> MO HealthNet</t>
    </r>
    <r>
      <rPr>
        <b/>
        <sz val="11"/>
        <rFont val="Arial"/>
        <family val="2"/>
      </rPr>
      <t xml:space="preserve"> Baseline Vs. Last 57 Months MO HealthNet Managed Care</t>
    </r>
  </si>
  <si>
    <t>Before Managed Care</t>
  </si>
  <si>
    <t>After Managed Care</t>
  </si>
  <si>
    <r>
      <t>Eastern Region</t>
    </r>
    <r>
      <rPr>
        <b/>
        <u val="single"/>
        <sz val="11"/>
        <rFont val="Arial"/>
        <family val="2"/>
      </rPr>
      <t xml:space="preserve"> Non-MO HealthNet</t>
    </r>
    <r>
      <rPr>
        <b/>
        <sz val="11"/>
        <rFont val="Arial"/>
        <family val="2"/>
      </rPr>
      <t xml:space="preserve"> Baseline Vs. Last 57 Months Non-MO HealthNet Managed Care</t>
    </r>
  </si>
  <si>
    <t>Provisional</t>
  </si>
  <si>
    <t>Eastern Region MO HealthNet continued</t>
  </si>
  <si>
    <t>Eastern Region Non-MO HealthNet continued</t>
  </si>
  <si>
    <t>Western Region MO HealthNet continued</t>
  </si>
  <si>
    <t>Western Region Non-MO HealthNet continued</t>
  </si>
  <si>
    <t>Central Region Non-MO HealthNet continued</t>
  </si>
  <si>
    <r>
      <t xml:space="preserve">Central Region </t>
    </r>
    <r>
      <rPr>
        <b/>
        <u val="single"/>
        <sz val="11"/>
        <rFont val="Arial"/>
        <family val="2"/>
      </rPr>
      <t>MO HealthNet</t>
    </r>
    <r>
      <rPr>
        <b/>
        <sz val="11"/>
        <rFont val="Arial"/>
        <family val="2"/>
      </rPr>
      <t xml:space="preserve"> Baseline Vs. Last 57 Months MO HealthNet Managed Care</t>
    </r>
  </si>
  <si>
    <r>
      <t>Western Region</t>
    </r>
    <r>
      <rPr>
        <b/>
        <u val="single"/>
        <sz val="11"/>
        <rFont val="Arial"/>
        <family val="2"/>
      </rPr>
      <t xml:space="preserve"> MO HealthNet</t>
    </r>
    <r>
      <rPr>
        <b/>
        <sz val="11"/>
        <rFont val="Arial"/>
        <family val="2"/>
      </rPr>
      <t xml:space="preserve"> Baseline Vs. Last 57 Months MO HealthNet Managed Care</t>
    </r>
  </si>
  <si>
    <t>Trends in Missouri MO HealthNet Quality Indicators:</t>
  </si>
  <si>
    <t>Central Region MO HealthNet continued</t>
  </si>
  <si>
    <r>
      <t xml:space="preserve">Central Region Baseline </t>
    </r>
    <r>
      <rPr>
        <b/>
        <u val="single"/>
        <sz val="11"/>
        <rFont val="Arial"/>
        <family val="2"/>
      </rPr>
      <t>Non-MO HealthNet</t>
    </r>
    <r>
      <rPr>
        <b/>
        <sz val="11"/>
        <rFont val="Arial"/>
        <family val="2"/>
      </rPr>
      <t xml:space="preserve"> Vs. Last 57 Months Non-MO HealthNet Managed Care </t>
    </r>
  </si>
  <si>
    <r>
      <t>Western Region</t>
    </r>
    <r>
      <rPr>
        <b/>
        <u val="single"/>
        <sz val="11"/>
        <rFont val="Arial"/>
        <family val="2"/>
      </rPr>
      <t xml:space="preserve"> Non-MO HealthNet</t>
    </r>
    <r>
      <rPr>
        <b/>
        <sz val="11"/>
        <rFont val="Arial"/>
        <family val="2"/>
      </rPr>
      <t xml:space="preserve"> Baseline Vs. Last 57 Months Non-MO HealthNet Managed Care</t>
    </r>
  </si>
  <si>
    <t>Calendar Year 2008</t>
  </si>
  <si>
    <t>Calendar Year 2009</t>
  </si>
  <si>
    <t>Calendar Year 2010</t>
  </si>
  <si>
    <t xml:space="preserve">Provisional </t>
  </si>
  <si>
    <t>Provisonal</t>
  </si>
  <si>
    <t>Change</t>
  </si>
  <si>
    <t>***Statistically significant change between CY2009 and C2010 at .05 level of significance using Chi-square test.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</si>
</sst>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33" borderId="0" xfId="0" applyNumberFormat="1" applyFill="1" applyAlignment="1">
      <alignment/>
    </xf>
    <xf numFmtId="3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5" fontId="0" fillId="34" borderId="0" xfId="0" applyNumberFormat="1" applyFill="1" applyAlignment="1">
      <alignment horizontal="right"/>
    </xf>
    <xf numFmtId="3" fontId="2" fillId="0" borderId="0" xfId="0" applyNumberFormat="1" applyFont="1" applyAlignment="1">
      <alignment horizontal="left"/>
    </xf>
    <xf numFmtId="165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2" fillId="0" borderId="0" xfId="0" applyFont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2.7109375" style="0" customWidth="1"/>
    <col min="18" max="18" width="10.28125" style="0" bestFit="1" customWidth="1"/>
  </cols>
  <sheetData>
    <row r="1" spans="1:11" ht="1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2.75">
      <c r="A3" s="3"/>
    </row>
    <row r="4" spans="1:18" ht="12.75">
      <c r="A4" s="3"/>
      <c r="D4" s="4" t="s">
        <v>68</v>
      </c>
      <c r="E4" s="4"/>
      <c r="F4" s="4"/>
      <c r="G4" s="4"/>
      <c r="I4" s="62" t="s">
        <v>69</v>
      </c>
      <c r="J4" s="62"/>
      <c r="K4" s="62"/>
      <c r="L4" s="62"/>
      <c r="M4" s="62"/>
      <c r="N4" s="62"/>
      <c r="O4" s="62"/>
      <c r="P4" s="62"/>
      <c r="Q4" s="62"/>
      <c r="R4" s="62"/>
    </row>
    <row r="5" spans="6:18" ht="12.75">
      <c r="F5" s="4" t="s">
        <v>1</v>
      </c>
      <c r="G5" s="4"/>
      <c r="J5" s="4"/>
      <c r="M5" s="63" t="s">
        <v>16</v>
      </c>
      <c r="N5" s="63"/>
      <c r="O5" s="64" t="s">
        <v>16</v>
      </c>
      <c r="P5" s="61"/>
      <c r="Q5" s="63" t="s">
        <v>71</v>
      </c>
      <c r="R5" s="63"/>
    </row>
    <row r="6" spans="1:19" ht="12.75">
      <c r="A6" s="6" t="s">
        <v>2</v>
      </c>
      <c r="D6" s="4" t="s">
        <v>3</v>
      </c>
      <c r="E6" s="4"/>
      <c r="F6" s="4" t="s">
        <v>4</v>
      </c>
      <c r="G6" s="4"/>
      <c r="I6" s="62" t="s">
        <v>51</v>
      </c>
      <c r="J6" s="62"/>
      <c r="K6" s="62" t="s">
        <v>52</v>
      </c>
      <c r="L6" s="62"/>
      <c r="M6" s="62" t="s">
        <v>83</v>
      </c>
      <c r="N6" s="62"/>
      <c r="O6" s="62" t="s">
        <v>84</v>
      </c>
      <c r="P6" s="62"/>
      <c r="Q6" s="62" t="s">
        <v>85</v>
      </c>
      <c r="R6" s="62"/>
      <c r="S6" s="5" t="s">
        <v>5</v>
      </c>
    </row>
    <row r="7" spans="4:19" ht="12.75">
      <c r="D7" s="7" t="s">
        <v>6</v>
      </c>
      <c r="E7" s="7" t="s">
        <v>7</v>
      </c>
      <c r="F7" s="7" t="s">
        <v>8</v>
      </c>
      <c r="G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5" t="s">
        <v>9</v>
      </c>
    </row>
    <row r="8" spans="2:19" ht="12.75">
      <c r="B8" t="s">
        <v>10</v>
      </c>
      <c r="D8" s="8">
        <v>3849</v>
      </c>
      <c r="E8" s="9">
        <f>D8/D12</f>
        <v>0.7396233666410453</v>
      </c>
      <c r="F8" s="8">
        <v>3825</v>
      </c>
      <c r="G8" s="9">
        <f>F8/F12</f>
        <v>0.7513258691809075</v>
      </c>
      <c r="I8" s="8">
        <v>5671</v>
      </c>
      <c r="J8" s="9">
        <f>I8/I12</f>
        <v>0.7789835164835165</v>
      </c>
      <c r="K8" s="8">
        <v>5641</v>
      </c>
      <c r="L8" s="9">
        <f>K8/K12</f>
        <v>0.748838444178946</v>
      </c>
      <c r="M8" s="8">
        <v>5944</v>
      </c>
      <c r="N8" s="9">
        <f>M8/M12</f>
        <v>0.7283421149368949</v>
      </c>
      <c r="O8" s="8">
        <v>6011</v>
      </c>
      <c r="P8" s="9">
        <f>O8/O12</f>
        <v>0.7382706951608942</v>
      </c>
      <c r="Q8" s="8">
        <v>3375</v>
      </c>
      <c r="R8" s="9">
        <f>Q8/Q12</f>
        <v>0.5025312686122692</v>
      </c>
      <c r="S8" s="10" t="s">
        <v>11</v>
      </c>
    </row>
    <row r="9" spans="2:19" ht="12.75">
      <c r="B9" t="s">
        <v>12</v>
      </c>
      <c r="D9" s="8">
        <v>1085</v>
      </c>
      <c r="E9" s="9">
        <f>D9/D12</f>
        <v>0.2084934665641814</v>
      </c>
      <c r="F9" s="8">
        <v>994</v>
      </c>
      <c r="G9" s="9">
        <f>F9/F12</f>
        <v>0.19524651345511687</v>
      </c>
      <c r="I9" s="8">
        <v>1338</v>
      </c>
      <c r="J9" s="9">
        <f>I9/I12</f>
        <v>0.1837912087912088</v>
      </c>
      <c r="K9" s="8">
        <v>1560</v>
      </c>
      <c r="L9" s="9">
        <f>K9/K12</f>
        <v>0.20708880923934686</v>
      </c>
      <c r="M9" s="8">
        <v>1888</v>
      </c>
      <c r="N9" s="9">
        <f>M9/M12</f>
        <v>0.23134419801494915</v>
      </c>
      <c r="O9" s="8">
        <v>1819</v>
      </c>
      <c r="P9" s="9">
        <f>O9/O12</f>
        <v>0.22340948169982805</v>
      </c>
      <c r="Q9" s="8">
        <v>2708</v>
      </c>
      <c r="R9" s="9">
        <f>Q9/Q12</f>
        <v>0.4032162001191185</v>
      </c>
      <c r="S9" s="10" t="s">
        <v>11</v>
      </c>
    </row>
    <row r="10" spans="2:19" ht="12.75">
      <c r="B10" t="s">
        <v>13</v>
      </c>
      <c r="D10" s="8">
        <v>183</v>
      </c>
      <c r="E10" s="9">
        <f>D10/D12</f>
        <v>0.03516525749423521</v>
      </c>
      <c r="F10" s="8">
        <v>203</v>
      </c>
      <c r="G10" s="9">
        <f>F10/F12</f>
        <v>0.039874287959143585</v>
      </c>
      <c r="I10" s="8">
        <v>210</v>
      </c>
      <c r="J10" s="9">
        <f>I10/I12</f>
        <v>0.028846153846153848</v>
      </c>
      <c r="K10" s="8">
        <v>238</v>
      </c>
      <c r="L10" s="9">
        <f>K10/K12</f>
        <v>0.03159431833266959</v>
      </c>
      <c r="M10" s="8">
        <v>245</v>
      </c>
      <c r="N10" s="9">
        <f>M10/M12</f>
        <v>0.030020830780541602</v>
      </c>
      <c r="O10" s="8">
        <v>208</v>
      </c>
      <c r="P10" s="9">
        <f>O10/O12</f>
        <v>0.025546548759518548</v>
      </c>
      <c r="Q10" s="8">
        <v>531</v>
      </c>
      <c r="R10" s="9">
        <f>Q10/Q12</f>
        <v>0.07906491959499702</v>
      </c>
      <c r="S10" s="10" t="s">
        <v>11</v>
      </c>
    </row>
    <row r="11" spans="2:19" ht="12.75">
      <c r="B11" s="11" t="s">
        <v>15</v>
      </c>
      <c r="C11" s="11"/>
      <c r="D11" s="12">
        <v>87</v>
      </c>
      <c r="E11" s="13">
        <f>D11/D12</f>
        <v>0.01671790930053805</v>
      </c>
      <c r="F11" s="12">
        <v>69</v>
      </c>
      <c r="G11" s="13">
        <f>F11/F12</f>
        <v>0.013553329404832056</v>
      </c>
      <c r="H11" s="11" t="s">
        <v>16</v>
      </c>
      <c r="I11" s="12">
        <v>61</v>
      </c>
      <c r="J11" s="13">
        <f>I11/I12</f>
        <v>0.008379120879120879</v>
      </c>
      <c r="K11" s="12">
        <v>94</v>
      </c>
      <c r="L11" s="13">
        <f>K11/K12</f>
        <v>0.012478428249037568</v>
      </c>
      <c r="M11" s="12">
        <v>84</v>
      </c>
      <c r="N11" s="13">
        <f>M11/M12</f>
        <v>0.010292856267614264</v>
      </c>
      <c r="O11" s="12">
        <v>104</v>
      </c>
      <c r="P11" s="13">
        <f>O11/O12</f>
        <v>0.012773274379759274</v>
      </c>
      <c r="Q11" s="12">
        <v>102</v>
      </c>
      <c r="R11" s="13">
        <f>Q11/Q12</f>
        <v>0.015187611673615247</v>
      </c>
      <c r="S11" s="10" t="s">
        <v>14</v>
      </c>
    </row>
    <row r="12" spans="2:19" ht="12.75">
      <c r="B12" t="s">
        <v>17</v>
      </c>
      <c r="D12" s="8">
        <f>SUM(D8:D11)</f>
        <v>5204</v>
      </c>
      <c r="E12" s="9"/>
      <c r="F12" s="8">
        <f>SUM(F8:F11)</f>
        <v>5091</v>
      </c>
      <c r="G12" s="9"/>
      <c r="I12" s="8">
        <f>SUM(I8:I11)</f>
        <v>7280</v>
      </c>
      <c r="K12" s="8">
        <f>SUM(K8:K11)</f>
        <v>7533</v>
      </c>
      <c r="M12" s="8">
        <f>SUM(M8:M11)</f>
        <v>8161</v>
      </c>
      <c r="O12" s="8">
        <f>SUM(O8:O11)</f>
        <v>8142</v>
      </c>
      <c r="Q12" s="8">
        <f>SUM(Q8:Q11)</f>
        <v>6716</v>
      </c>
      <c r="S12" s="10"/>
    </row>
    <row r="13" spans="4:19" ht="12.75">
      <c r="D13" s="8"/>
      <c r="E13" t="s">
        <v>16</v>
      </c>
      <c r="F13" s="8"/>
      <c r="I13" s="8"/>
      <c r="K13" s="8"/>
      <c r="M13" s="8"/>
      <c r="O13" s="8"/>
      <c r="Q13" s="8"/>
      <c r="S13" s="10"/>
    </row>
    <row r="14" spans="1:19" ht="12.75">
      <c r="A14" s="14" t="s">
        <v>18</v>
      </c>
      <c r="B14" s="11"/>
      <c r="C14" s="11"/>
      <c r="D14" s="12">
        <v>1131</v>
      </c>
      <c r="E14" s="13">
        <v>0.22051</v>
      </c>
      <c r="F14" s="12">
        <v>1094</v>
      </c>
      <c r="G14" s="13">
        <v>0.22473</v>
      </c>
      <c r="H14" s="11"/>
      <c r="I14" s="12">
        <v>1281</v>
      </c>
      <c r="J14" s="13">
        <v>0.18366</v>
      </c>
      <c r="K14" s="12">
        <v>1555</v>
      </c>
      <c r="L14" s="13">
        <v>0.21372</v>
      </c>
      <c r="M14" s="12">
        <v>1675</v>
      </c>
      <c r="N14" s="13">
        <v>0.21329</v>
      </c>
      <c r="O14" s="12">
        <v>1570</v>
      </c>
      <c r="P14" s="13">
        <v>0.19866</v>
      </c>
      <c r="Q14" s="12">
        <v>2352</v>
      </c>
      <c r="R14" s="13">
        <v>0.35055</v>
      </c>
      <c r="S14" s="10" t="s">
        <v>11</v>
      </c>
    </row>
    <row r="15" spans="4:19" ht="12.75">
      <c r="D15" s="8"/>
      <c r="F15" s="8"/>
      <c r="G15" t="s">
        <v>16</v>
      </c>
      <c r="I15" s="8"/>
      <c r="K15" s="8"/>
      <c r="M15" s="8"/>
      <c r="O15" s="8"/>
      <c r="Q15" s="8"/>
      <c r="S15" s="10"/>
    </row>
    <row r="16" spans="1:19" ht="12.75">
      <c r="A16" s="6" t="s">
        <v>19</v>
      </c>
      <c r="D16" s="8"/>
      <c r="F16" s="8"/>
      <c r="I16" s="8"/>
      <c r="K16" s="8"/>
      <c r="M16" s="8"/>
      <c r="O16" s="8"/>
      <c r="Q16" s="8"/>
      <c r="S16" s="10"/>
    </row>
    <row r="17" spans="2:19" ht="12.75">
      <c r="B17" s="53" t="s">
        <v>60</v>
      </c>
      <c r="D17" s="8">
        <v>93</v>
      </c>
      <c r="E17" s="9">
        <f>D17/D20</f>
        <v>0.017174515235457065</v>
      </c>
      <c r="F17" s="8">
        <v>102</v>
      </c>
      <c r="G17" s="9">
        <f>F17/F20</f>
        <v>0.018983807928531545</v>
      </c>
      <c r="I17" s="8">
        <v>133</v>
      </c>
      <c r="J17" s="9">
        <f>I17/I20</f>
        <v>0.016664578373637388</v>
      </c>
      <c r="K17" s="8">
        <v>138</v>
      </c>
      <c r="L17" s="9">
        <f>K17/K20</f>
        <v>0.017360674298653917</v>
      </c>
      <c r="M17" s="8">
        <v>114</v>
      </c>
      <c r="N17" s="9">
        <f>M17/M20</f>
        <v>0.013449740443605473</v>
      </c>
      <c r="O17" s="8">
        <v>126</v>
      </c>
      <c r="P17" s="9">
        <f>O17/O20</f>
        <v>0.014754098360655738</v>
      </c>
      <c r="Q17" s="8">
        <v>122</v>
      </c>
      <c r="R17" s="9">
        <f>Q17/Q20</f>
        <v>0.016479805484263137</v>
      </c>
      <c r="S17" s="10" t="s">
        <v>14</v>
      </c>
    </row>
    <row r="18" spans="2:19" ht="12.75">
      <c r="B18" s="53" t="s">
        <v>54</v>
      </c>
      <c r="D18" s="8">
        <v>435</v>
      </c>
      <c r="E18" s="9">
        <f>D18/D20</f>
        <v>0.08033240997229917</v>
      </c>
      <c r="F18" s="8">
        <v>441</v>
      </c>
      <c r="G18" s="9">
        <f>F18/F20</f>
        <v>0.08207705192629816</v>
      </c>
      <c r="I18" s="8">
        <v>597</v>
      </c>
      <c r="J18" s="9">
        <f>I18/I20</f>
        <v>0.07480265630873324</v>
      </c>
      <c r="K18" s="8">
        <v>574</v>
      </c>
      <c r="L18" s="9">
        <f>K18/K20</f>
        <v>0.07221034092338659</v>
      </c>
      <c r="M18" s="8">
        <v>609</v>
      </c>
      <c r="N18" s="9">
        <f>M18/M20</f>
        <v>0.0718499292118924</v>
      </c>
      <c r="O18" s="8">
        <v>633</v>
      </c>
      <c r="P18" s="9">
        <f>O18/O20</f>
        <v>0.07412177985948477</v>
      </c>
      <c r="Q18" s="8">
        <v>549</v>
      </c>
      <c r="R18" s="9">
        <f>Q18/Q20</f>
        <v>0.07415912467918412</v>
      </c>
      <c r="S18" s="10" t="s">
        <v>14</v>
      </c>
    </row>
    <row r="19" spans="2:19" ht="12.75">
      <c r="B19" t="s">
        <v>20</v>
      </c>
      <c r="D19" s="8">
        <v>4887</v>
      </c>
      <c r="E19" s="9">
        <f>D19/D20</f>
        <v>0.9024930747922437</v>
      </c>
      <c r="F19" s="8">
        <v>4820</v>
      </c>
      <c r="G19" s="9">
        <f>F19/F20</f>
        <v>0.8970779825051182</v>
      </c>
      <c r="I19" s="8">
        <v>7249</v>
      </c>
      <c r="J19" s="9">
        <f>I19/I20</f>
        <v>0.908282170154116</v>
      </c>
      <c r="K19" s="8">
        <v>7232</v>
      </c>
      <c r="L19" s="9">
        <f>K19/K20</f>
        <v>0.9097999748396025</v>
      </c>
      <c r="M19" s="8">
        <v>7752</v>
      </c>
      <c r="N19" s="9">
        <f>M19/M20</f>
        <v>0.9145823501651722</v>
      </c>
      <c r="O19" s="8">
        <v>7776</v>
      </c>
      <c r="P19" s="9">
        <f>O19/O20</f>
        <v>0.9105386416861827</v>
      </c>
      <c r="Q19" s="8">
        <v>6717</v>
      </c>
      <c r="R19" s="9">
        <f>Q19/Q20</f>
        <v>0.9073348642442253</v>
      </c>
      <c r="S19" s="10" t="s">
        <v>14</v>
      </c>
    </row>
    <row r="20" spans="2:19" ht="12.75">
      <c r="B20" t="s">
        <v>17</v>
      </c>
      <c r="D20" s="8">
        <f>SUM(D17:D19)</f>
        <v>5415</v>
      </c>
      <c r="E20" s="9"/>
      <c r="F20" s="8">
        <v>5373</v>
      </c>
      <c r="G20" s="9"/>
      <c r="I20" s="8">
        <v>7981</v>
      </c>
      <c r="K20" s="8">
        <v>7949</v>
      </c>
      <c r="M20" s="8">
        <v>8476</v>
      </c>
      <c r="O20" s="8">
        <v>8540</v>
      </c>
      <c r="Q20" s="8">
        <v>7403</v>
      </c>
      <c r="S20" s="10"/>
    </row>
    <row r="21" spans="4:19" ht="12.75">
      <c r="D21" s="8"/>
      <c r="E21" s="9"/>
      <c r="F21" s="8"/>
      <c r="G21" s="9"/>
      <c r="I21" s="8"/>
      <c r="K21" s="8"/>
      <c r="M21" s="8"/>
      <c r="O21" s="8"/>
      <c r="Q21" s="8"/>
      <c r="S21" s="10"/>
    </row>
    <row r="22" spans="1:19" ht="12.75">
      <c r="A22" s="14" t="s">
        <v>21</v>
      </c>
      <c r="B22" s="11"/>
      <c r="C22" s="11"/>
      <c r="D22" s="12">
        <f>SUM(D17:D18)</f>
        <v>528</v>
      </c>
      <c r="E22" s="13">
        <f>D22/D20</f>
        <v>0.09750692520775624</v>
      </c>
      <c r="F22" s="12">
        <f>SUM(F17:F18)</f>
        <v>543</v>
      </c>
      <c r="G22" s="13">
        <f>F22/F20</f>
        <v>0.10106085985482971</v>
      </c>
      <c r="H22" s="11"/>
      <c r="I22" s="12">
        <f>SUM(I17:I18)</f>
        <v>730</v>
      </c>
      <c r="J22" s="13">
        <f>I22/I20</f>
        <v>0.09146723468237063</v>
      </c>
      <c r="K22" s="12">
        <f>SUM(K17:K18)</f>
        <v>712</v>
      </c>
      <c r="L22" s="13">
        <f>K22/K20</f>
        <v>0.08957101522204051</v>
      </c>
      <c r="M22" s="12">
        <f>SUM(M17:M18)</f>
        <v>723</v>
      </c>
      <c r="N22" s="13">
        <f>M22/M20</f>
        <v>0.08529966965549787</v>
      </c>
      <c r="O22" s="12">
        <f>SUM(O17:O18)</f>
        <v>759</v>
      </c>
      <c r="P22" s="13">
        <f>O22/O20</f>
        <v>0.08887587822014051</v>
      </c>
      <c r="Q22" s="12">
        <f>SUM(Q17:Q18)</f>
        <v>671</v>
      </c>
      <c r="R22" s="13">
        <f>Q22/Q20</f>
        <v>0.09063893016344725</v>
      </c>
      <c r="S22" s="15" t="s">
        <v>14</v>
      </c>
    </row>
    <row r="23" spans="4:19" ht="12.75">
      <c r="D23" s="8"/>
      <c r="F23" s="8"/>
      <c r="I23" s="8"/>
      <c r="K23" s="8"/>
      <c r="M23" s="8"/>
      <c r="O23" s="8"/>
      <c r="Q23" s="8"/>
      <c r="S23" s="10"/>
    </row>
    <row r="24" spans="1:19" ht="12.75">
      <c r="A24" s="53" t="s">
        <v>61</v>
      </c>
      <c r="D24" s="8"/>
      <c r="F24" s="8"/>
      <c r="I24" s="8"/>
      <c r="K24" s="8"/>
      <c r="M24" s="8"/>
      <c r="O24" s="8"/>
      <c r="Q24" s="8"/>
      <c r="S24" s="10"/>
    </row>
    <row r="25" spans="2:19" ht="12.75">
      <c r="B25" s="53" t="s">
        <v>55</v>
      </c>
      <c r="D25" s="8">
        <v>193</v>
      </c>
      <c r="E25" s="9">
        <f>D25/D20</f>
        <v>0.03564173591874423</v>
      </c>
      <c r="F25" s="8">
        <v>206</v>
      </c>
      <c r="G25" s="9">
        <f>F25/F20</f>
        <v>0.03833984738507352</v>
      </c>
      <c r="I25" s="8">
        <v>250</v>
      </c>
      <c r="J25" s="9">
        <f>I25/I20</f>
        <v>0.031324395439168026</v>
      </c>
      <c r="K25" s="8">
        <v>236</v>
      </c>
      <c r="L25" s="9">
        <f>K25/K20</f>
        <v>0.02968926909045163</v>
      </c>
      <c r="M25" s="8">
        <v>222</v>
      </c>
      <c r="N25" s="9">
        <f>M25/M20</f>
        <v>0.026191599811231713</v>
      </c>
      <c r="O25" s="8">
        <v>228</v>
      </c>
      <c r="P25" s="9">
        <f>O25/O20</f>
        <v>0.026697892271662763</v>
      </c>
      <c r="Q25" s="8">
        <v>212</v>
      </c>
      <c r="R25" s="9">
        <f>Q25/7032</f>
        <v>0.030147895335608646</v>
      </c>
      <c r="S25" s="10" t="s">
        <v>14</v>
      </c>
    </row>
    <row r="26" spans="2:19" ht="12.75">
      <c r="B26" s="53" t="s">
        <v>56</v>
      </c>
      <c r="D26" s="8">
        <v>565</v>
      </c>
      <c r="E26" s="9">
        <f>D26/D20</f>
        <v>0.10433979686057249</v>
      </c>
      <c r="F26" s="8">
        <v>575</v>
      </c>
      <c r="G26" s="9">
        <f>F26/F20</f>
        <v>0.10701656430299647</v>
      </c>
      <c r="I26" s="8">
        <v>883</v>
      </c>
      <c r="J26" s="9">
        <f>I26/I20</f>
        <v>0.11063776469114146</v>
      </c>
      <c r="K26" s="8">
        <v>778</v>
      </c>
      <c r="L26" s="9">
        <f>K26/K20</f>
        <v>0.09787394640835326</v>
      </c>
      <c r="M26" s="8">
        <v>848</v>
      </c>
      <c r="N26" s="9">
        <f>M26/M20</f>
        <v>0.10004719207173195</v>
      </c>
      <c r="O26" s="8">
        <v>893</v>
      </c>
      <c r="P26" s="9">
        <f>O26/O20</f>
        <v>0.10456674473067916</v>
      </c>
      <c r="Q26" s="8">
        <v>683</v>
      </c>
      <c r="R26" s="9">
        <f>Q26/7032</f>
        <v>0.09712741751990898</v>
      </c>
      <c r="S26" s="10" t="s">
        <v>14</v>
      </c>
    </row>
    <row r="27" spans="4:19" ht="12.75">
      <c r="D27" s="8"/>
      <c r="F27" s="8"/>
      <c r="I27" s="8"/>
      <c r="K27" s="8"/>
      <c r="M27" s="8"/>
      <c r="O27" s="8"/>
      <c r="Q27" s="8"/>
      <c r="S27" s="10"/>
    </row>
    <row r="28" spans="1:19" ht="12.75">
      <c r="A28" s="6" t="s">
        <v>22</v>
      </c>
      <c r="D28" s="8"/>
      <c r="F28" s="8"/>
      <c r="I28" s="8"/>
      <c r="K28" s="8"/>
      <c r="M28" s="8"/>
      <c r="O28" s="8"/>
      <c r="Q28" s="8"/>
      <c r="S28" s="10"/>
    </row>
    <row r="29" spans="2:19" ht="12.75">
      <c r="B29" s="11" t="s">
        <v>23</v>
      </c>
      <c r="C29" s="11"/>
      <c r="D29" s="12">
        <v>797</v>
      </c>
      <c r="E29" s="13">
        <f>D29/D20</f>
        <v>0.1471837488457987</v>
      </c>
      <c r="F29" s="12">
        <v>864</v>
      </c>
      <c r="G29" s="13">
        <f>F29/F20</f>
        <v>0.16080402010050251</v>
      </c>
      <c r="H29" s="11"/>
      <c r="I29" s="12">
        <v>1883</v>
      </c>
      <c r="J29" s="13">
        <f>I29/I20</f>
        <v>0.23593534644781355</v>
      </c>
      <c r="K29" s="12">
        <v>1938</v>
      </c>
      <c r="L29" s="13">
        <f>K29/K20</f>
        <v>0.2438042521071833</v>
      </c>
      <c r="M29" s="12">
        <v>2226</v>
      </c>
      <c r="N29" s="13">
        <f>M29/M20</f>
        <v>0.2626238791882964</v>
      </c>
      <c r="O29" s="12">
        <v>2398</v>
      </c>
      <c r="P29" s="13">
        <f>O29/O20</f>
        <v>0.28079625292740046</v>
      </c>
      <c r="Q29" s="12">
        <v>1967</v>
      </c>
      <c r="R29" s="13">
        <f>Q29/Q20</f>
        <v>0.2657030933405376</v>
      </c>
      <c r="S29" s="15" t="s">
        <v>14</v>
      </c>
    </row>
    <row r="30" spans="2:19" ht="12.75">
      <c r="B30" t="s">
        <v>24</v>
      </c>
      <c r="D30" s="8">
        <v>173</v>
      </c>
      <c r="E30" s="9">
        <f>D30/439</f>
        <v>0.3940774487471526</v>
      </c>
      <c r="F30" s="8">
        <v>119</v>
      </c>
      <c r="G30" s="9">
        <f>119/381</f>
        <v>0.3123359580052493</v>
      </c>
      <c r="I30" s="8">
        <v>86</v>
      </c>
      <c r="J30" s="9">
        <f>I30/760</f>
        <v>0.11315789473684211</v>
      </c>
      <c r="K30" s="8">
        <v>71</v>
      </c>
      <c r="L30" s="9">
        <v>0.09245</v>
      </c>
      <c r="M30" s="8">
        <v>69</v>
      </c>
      <c r="N30" s="9">
        <v>0.079585</v>
      </c>
      <c r="O30" s="8">
        <v>72</v>
      </c>
      <c r="P30" s="9">
        <v>0.080717</v>
      </c>
      <c r="Q30" s="8">
        <v>137</v>
      </c>
      <c r="R30" s="9">
        <v>0.15783</v>
      </c>
      <c r="S30" s="15" t="s">
        <v>11</v>
      </c>
    </row>
    <row r="31" spans="4:19" ht="12.75">
      <c r="D31" s="8"/>
      <c r="F31" s="8"/>
      <c r="I31" s="8"/>
      <c r="K31" s="8"/>
      <c r="M31" s="8"/>
      <c r="O31" s="8"/>
      <c r="Q31" s="8"/>
      <c r="S31" s="10"/>
    </row>
    <row r="32" spans="1:19" ht="12.75">
      <c r="A32" s="53" t="s">
        <v>62</v>
      </c>
      <c r="D32" s="8">
        <v>863</v>
      </c>
      <c r="E32" s="9">
        <v>0.15254</v>
      </c>
      <c r="F32" s="8">
        <v>945</v>
      </c>
      <c r="G32" s="9">
        <v>0.17932</v>
      </c>
      <c r="I32" s="8">
        <v>1738</v>
      </c>
      <c r="J32" s="9">
        <v>0.23594</v>
      </c>
      <c r="K32" s="8">
        <v>1797</v>
      </c>
      <c r="L32" s="9">
        <v>0.24522</v>
      </c>
      <c r="M32" s="8">
        <v>1943</v>
      </c>
      <c r="N32" s="9">
        <v>0.24894</v>
      </c>
      <c r="O32" s="8">
        <v>2014</v>
      </c>
      <c r="P32" s="9">
        <v>0.25718</v>
      </c>
      <c r="Q32" s="8">
        <v>1927</v>
      </c>
      <c r="R32" s="9">
        <v>0.26951</v>
      </c>
      <c r="S32" s="10" t="s">
        <v>14</v>
      </c>
    </row>
    <row r="33" spans="4:19" ht="12.75">
      <c r="D33" s="8"/>
      <c r="F33" s="8"/>
      <c r="I33" s="8"/>
      <c r="K33" s="8"/>
      <c r="M33" s="8"/>
      <c r="O33" s="8"/>
      <c r="Q33" s="8"/>
      <c r="S33" s="10"/>
    </row>
    <row r="34" spans="1:19" ht="12.75">
      <c r="A34" s="14" t="s">
        <v>25</v>
      </c>
      <c r="B34" s="11"/>
      <c r="C34" s="11"/>
      <c r="D34" s="12">
        <v>1728</v>
      </c>
      <c r="E34" s="13">
        <f>D34/D20</f>
        <v>0.3191135734072022</v>
      </c>
      <c r="F34" s="12">
        <v>1626</v>
      </c>
      <c r="G34" s="13">
        <f>F34/F20</f>
        <v>0.3026242322724735</v>
      </c>
      <c r="H34" s="11"/>
      <c r="I34" s="12">
        <v>2035</v>
      </c>
      <c r="J34" s="13">
        <f>I34/I20</f>
        <v>0.2549805788748277</v>
      </c>
      <c r="K34" s="12">
        <v>1881</v>
      </c>
      <c r="L34" s="13">
        <f>K34/K20</f>
        <v>0.2366335388099132</v>
      </c>
      <c r="M34" s="12">
        <v>2162</v>
      </c>
      <c r="N34" s="13">
        <f>M34/M20</f>
        <v>0.2550731477111845</v>
      </c>
      <c r="O34" s="12">
        <v>2048</v>
      </c>
      <c r="P34" s="13">
        <f>O34/O20</f>
        <v>0.23981264637002342</v>
      </c>
      <c r="Q34" s="12">
        <v>2136</v>
      </c>
      <c r="R34" s="13">
        <f>Q34/Q20</f>
        <v>0.2885316763474267</v>
      </c>
      <c r="S34" s="10" t="s">
        <v>11</v>
      </c>
    </row>
    <row r="35" spans="1:19" ht="12.75">
      <c r="A35" s="6"/>
      <c r="D35" s="8"/>
      <c r="E35" s="9" t="s">
        <v>16</v>
      </c>
      <c r="F35" s="8"/>
      <c r="G35" s="9" t="s">
        <v>16</v>
      </c>
      <c r="I35" s="8" t="s">
        <v>16</v>
      </c>
      <c r="K35" s="8"/>
      <c r="M35" s="8"/>
      <c r="O35" s="8"/>
      <c r="Q35" s="8"/>
      <c r="S35" s="10"/>
    </row>
    <row r="36" spans="1:19" ht="12.75">
      <c r="A36" s="14" t="s">
        <v>26</v>
      </c>
      <c r="B36" s="11"/>
      <c r="C36" s="11"/>
      <c r="D36" s="12">
        <v>430</v>
      </c>
      <c r="E36" s="13">
        <v>0.14863</v>
      </c>
      <c r="F36" s="12">
        <v>460</v>
      </c>
      <c r="G36" s="13">
        <v>0.1571</v>
      </c>
      <c r="H36" s="11"/>
      <c r="I36" s="12">
        <v>735</v>
      </c>
      <c r="J36" s="13">
        <v>0.16341</v>
      </c>
      <c r="K36" s="12">
        <v>826</v>
      </c>
      <c r="L36" s="13">
        <v>0.18549</v>
      </c>
      <c r="M36" s="12">
        <v>798</v>
      </c>
      <c r="N36" s="13">
        <v>0.16857</v>
      </c>
      <c r="O36" s="12">
        <v>770</v>
      </c>
      <c r="P36" s="13">
        <v>0.16022</v>
      </c>
      <c r="Q36" s="12">
        <v>706</v>
      </c>
      <c r="R36" s="13">
        <v>0.16663</v>
      </c>
      <c r="S36" s="10" t="s">
        <v>14</v>
      </c>
    </row>
    <row r="37" spans="1:19" ht="12.75">
      <c r="A37" s="6"/>
      <c r="D37" s="8"/>
      <c r="E37" s="9"/>
      <c r="F37" s="8"/>
      <c r="G37" s="9"/>
      <c r="I37" s="8"/>
      <c r="K37" s="8"/>
      <c r="M37" s="8"/>
      <c r="O37" s="8"/>
      <c r="Q37" s="8"/>
      <c r="S37" s="10"/>
    </row>
    <row r="38" spans="1:19" ht="12.75">
      <c r="A38" s="6" t="s">
        <v>27</v>
      </c>
      <c r="D38" s="8">
        <v>583</v>
      </c>
      <c r="E38" s="9">
        <f>D38/D20</f>
        <v>0.10766389658356418</v>
      </c>
      <c r="F38" s="8">
        <v>572</v>
      </c>
      <c r="G38" s="9">
        <f>F38/F20</f>
        <v>0.10645821701098084</v>
      </c>
      <c r="I38" s="8">
        <v>456</v>
      </c>
      <c r="J38" s="9">
        <f>I38/I20</f>
        <v>0.05713569728104247</v>
      </c>
      <c r="K38" s="8">
        <v>440</v>
      </c>
      <c r="L38" s="9">
        <f>K38/K20</f>
        <v>0.05535287457541829</v>
      </c>
      <c r="M38" s="8">
        <v>500</v>
      </c>
      <c r="N38" s="9">
        <f>M38/M20</f>
        <v>0.05899008966493629</v>
      </c>
      <c r="O38" s="8">
        <v>443</v>
      </c>
      <c r="P38" s="9">
        <f>O38/O20</f>
        <v>0.05187353629976581</v>
      </c>
      <c r="Q38" s="8">
        <v>343</v>
      </c>
      <c r="R38" s="9">
        <f>Q38/Q20</f>
        <v>0.046332567877887344</v>
      </c>
      <c r="S38" s="10" t="s">
        <v>14</v>
      </c>
    </row>
    <row r="39" spans="4:19" ht="12.75">
      <c r="D39" s="8"/>
      <c r="E39" t="s">
        <v>16</v>
      </c>
      <c r="F39" s="8"/>
      <c r="I39" s="8"/>
      <c r="K39" s="8"/>
      <c r="M39" s="8"/>
      <c r="O39" s="8"/>
      <c r="Q39" s="8"/>
      <c r="S39" s="10"/>
    </row>
    <row r="40" spans="1:19" ht="12.75">
      <c r="A40" s="53" t="s">
        <v>59</v>
      </c>
      <c r="D40" s="8">
        <v>230</v>
      </c>
      <c r="E40" s="9">
        <f>D40/D20</f>
        <v>0.04247460757156048</v>
      </c>
      <c r="F40" s="8">
        <v>244</v>
      </c>
      <c r="G40" s="9">
        <f>F40/F20</f>
        <v>0.04541224641727154</v>
      </c>
      <c r="I40">
        <v>386</v>
      </c>
      <c r="J40" s="9">
        <f>I40/I20</f>
        <v>0.04836486655807543</v>
      </c>
      <c r="K40" s="8">
        <v>412</v>
      </c>
      <c r="L40" s="9">
        <f>K40/K20</f>
        <v>0.051830418920618945</v>
      </c>
      <c r="M40" s="8">
        <v>416</v>
      </c>
      <c r="N40" s="9">
        <f>M40/M20</f>
        <v>0.049079754601226995</v>
      </c>
      <c r="O40" s="8">
        <v>495</v>
      </c>
      <c r="P40" s="9">
        <f>O40/O20</f>
        <v>0.057962529274004686</v>
      </c>
      <c r="Q40" s="8">
        <v>423</v>
      </c>
      <c r="R40" s="9">
        <f>Q40/Q20</f>
        <v>0.05713899770363366</v>
      </c>
      <c r="S40" s="10" t="s">
        <v>14</v>
      </c>
    </row>
    <row r="41" spans="4:19" ht="12.75">
      <c r="D41" s="8"/>
      <c r="F41" s="8"/>
      <c r="I41" s="8"/>
      <c r="K41" s="8"/>
      <c r="M41" s="8"/>
      <c r="O41" s="8"/>
      <c r="Q41" s="8"/>
      <c r="S41" s="10"/>
    </row>
    <row r="42" spans="1:19" ht="12.75">
      <c r="A42" t="s">
        <v>28</v>
      </c>
      <c r="D42" s="8">
        <v>358</v>
      </c>
      <c r="E42" s="9">
        <f>D42/D20</f>
        <v>0.06611265004616805</v>
      </c>
      <c r="F42" s="8">
        <v>389</v>
      </c>
      <c r="G42" s="9">
        <f>F42/F20</f>
        <v>0.07239903219802717</v>
      </c>
      <c r="I42" s="8">
        <v>283</v>
      </c>
      <c r="J42" s="9">
        <f>I42/I20</f>
        <v>0.035459215637138206</v>
      </c>
      <c r="K42" s="8">
        <v>334</v>
      </c>
      <c r="L42" s="9">
        <f>K42/K20</f>
        <v>0.04201786388224934</v>
      </c>
      <c r="M42" s="8">
        <v>333</v>
      </c>
      <c r="N42" s="9">
        <f>M42/M20</f>
        <v>0.03928739971684757</v>
      </c>
      <c r="O42" s="8">
        <v>286</v>
      </c>
      <c r="P42" s="9">
        <f>O42/O20</f>
        <v>0.033489461358313814</v>
      </c>
      <c r="Q42" s="8">
        <v>280</v>
      </c>
      <c r="R42" s="9">
        <f>Q42/Q20</f>
        <v>0.037822504390112116</v>
      </c>
      <c r="S42" s="10" t="s">
        <v>14</v>
      </c>
    </row>
    <row r="43" spans="4:19" ht="12.75">
      <c r="D43" s="8"/>
      <c r="F43" s="8"/>
      <c r="I43" s="8"/>
      <c r="K43" s="8"/>
      <c r="M43" s="8"/>
      <c r="O43" s="8"/>
      <c r="Q43" s="8"/>
      <c r="S43" s="10"/>
    </row>
    <row r="44" spans="1:19" ht="12.75">
      <c r="A44" s="11" t="s">
        <v>29</v>
      </c>
      <c r="B44" s="11"/>
      <c r="C44" s="11"/>
      <c r="D44" s="12">
        <v>4254</v>
      </c>
      <c r="E44" s="13">
        <f>D44/D20</f>
        <v>0.785595567867036</v>
      </c>
      <c r="F44" s="12">
        <v>4207</v>
      </c>
      <c r="G44" s="13">
        <f>F44/F20</f>
        <v>0.7829890191699237</v>
      </c>
      <c r="H44" s="11"/>
      <c r="I44" s="12">
        <v>6225</v>
      </c>
      <c r="J44" s="13">
        <f>I44/I20</f>
        <v>0.7799774464352838</v>
      </c>
      <c r="K44" s="12">
        <v>6093</v>
      </c>
      <c r="L44" s="13">
        <f>K44/K20</f>
        <v>0.766511510881872</v>
      </c>
      <c r="M44" s="12">
        <v>6578</v>
      </c>
      <c r="N44" s="13">
        <f>M44/M20</f>
        <v>0.7760736196319018</v>
      </c>
      <c r="O44" s="12">
        <v>6563</v>
      </c>
      <c r="P44" s="13">
        <f>O44/O20</f>
        <v>0.7685011709601873</v>
      </c>
      <c r="Q44" s="12">
        <v>5777</v>
      </c>
      <c r="R44" s="13">
        <f>Q44/Q20</f>
        <v>0.7803593137917061</v>
      </c>
      <c r="S44" s="15" t="s">
        <v>14</v>
      </c>
    </row>
    <row r="45" spans="4:18" ht="12.75">
      <c r="D45" s="8"/>
      <c r="J45" s="8"/>
      <c r="L45" s="8"/>
      <c r="N45" s="8"/>
      <c r="P45" s="8"/>
      <c r="R45" s="8"/>
    </row>
    <row r="46" spans="1:19" ht="12.75">
      <c r="A46" t="s">
        <v>30</v>
      </c>
      <c r="D46">
        <v>9</v>
      </c>
      <c r="E46" s="9">
        <f>D46/93</f>
        <v>0.0967741935483871</v>
      </c>
      <c r="F46">
        <v>15</v>
      </c>
      <c r="G46" s="9">
        <f>F46/102</f>
        <v>0.14705882352941177</v>
      </c>
      <c r="I46">
        <v>27</v>
      </c>
      <c r="J46" s="9">
        <f>27/130</f>
        <v>0.2076923076923077</v>
      </c>
      <c r="K46">
        <v>31</v>
      </c>
      <c r="L46" s="9">
        <f>31/134</f>
        <v>0.23134328358208955</v>
      </c>
      <c r="M46">
        <v>13</v>
      </c>
      <c r="N46" s="9">
        <f>13/104</f>
        <v>0.125</v>
      </c>
      <c r="O46">
        <v>17</v>
      </c>
      <c r="P46" s="9">
        <f>17/79</f>
        <v>0.21518987341772153</v>
      </c>
      <c r="Q46">
        <v>15</v>
      </c>
      <c r="R46" s="9">
        <f>15/79</f>
        <v>0.189873417721519</v>
      </c>
      <c r="S46" s="15" t="s">
        <v>14</v>
      </c>
    </row>
    <row r="47" spans="5:17" ht="12.75">
      <c r="E47" s="9"/>
      <c r="G47" s="9"/>
      <c r="K47" s="10"/>
      <c r="M47" s="10"/>
      <c r="Q47" s="10"/>
    </row>
    <row r="48" spans="5:11" ht="12.75">
      <c r="E48" s="9"/>
      <c r="G48" s="9"/>
      <c r="K48" s="10"/>
    </row>
    <row r="49" spans="5:11" ht="12.75">
      <c r="E49" s="9"/>
      <c r="G49" s="9"/>
      <c r="K49" s="10"/>
    </row>
    <row r="53" ht="12.75">
      <c r="A53" s="3" t="s">
        <v>74</v>
      </c>
    </row>
    <row r="55" spans="4:17" ht="12.75">
      <c r="D55" s="4" t="s">
        <v>68</v>
      </c>
      <c r="E55" s="4"/>
      <c r="F55" s="4"/>
      <c r="G55" s="4"/>
      <c r="I55" s="61" t="s">
        <v>69</v>
      </c>
      <c r="J55" s="61"/>
      <c r="K55" s="61"/>
      <c r="L55" s="61"/>
      <c r="M55" s="61"/>
      <c r="N55" s="61"/>
      <c r="O55" s="61"/>
      <c r="P55" s="61"/>
      <c r="Q55" s="61"/>
    </row>
    <row r="56" spans="6:7" ht="12.75">
      <c r="F56" s="4" t="s">
        <v>1</v>
      </c>
      <c r="G56" s="4"/>
    </row>
    <row r="57" spans="4:18" ht="12.75">
      <c r="D57" s="4" t="s">
        <v>3</v>
      </c>
      <c r="E57" s="4"/>
      <c r="F57" s="4" t="s">
        <v>4</v>
      </c>
      <c r="G57" s="4"/>
      <c r="I57" s="61" t="s">
        <v>50</v>
      </c>
      <c r="J57" s="61"/>
      <c r="K57" s="61" t="s">
        <v>51</v>
      </c>
      <c r="L57" s="61"/>
      <c r="M57" s="61" t="s">
        <v>52</v>
      </c>
      <c r="N57" s="61"/>
      <c r="O57" s="61" t="s">
        <v>83</v>
      </c>
      <c r="P57" s="61"/>
      <c r="Q57" s="61" t="s">
        <v>84</v>
      </c>
      <c r="R57" s="61"/>
    </row>
    <row r="58" spans="4:18" ht="12.75">
      <c r="D58" s="17" t="s">
        <v>31</v>
      </c>
      <c r="E58" s="17" t="s">
        <v>32</v>
      </c>
      <c r="F58" s="17" t="s">
        <v>31</v>
      </c>
      <c r="G58" s="17" t="s">
        <v>32</v>
      </c>
      <c r="I58" s="17" t="s">
        <v>31</v>
      </c>
      <c r="J58" s="17" t="s">
        <v>32</v>
      </c>
      <c r="K58" s="17" t="s">
        <v>31</v>
      </c>
      <c r="L58" s="17" t="s">
        <v>32</v>
      </c>
      <c r="M58" s="17" t="s">
        <v>31</v>
      </c>
      <c r="N58" s="17" t="s">
        <v>32</v>
      </c>
      <c r="O58" s="17" t="s">
        <v>31</v>
      </c>
      <c r="P58" s="17" t="s">
        <v>32</v>
      </c>
      <c r="Q58" s="17" t="s">
        <v>31</v>
      </c>
      <c r="R58" s="17" t="s">
        <v>32</v>
      </c>
    </row>
    <row r="59" spans="4:12" ht="12.75">
      <c r="D59" s="8"/>
      <c r="E59" s="16"/>
      <c r="F59" s="8"/>
      <c r="G59" s="16"/>
      <c r="I59" s="8"/>
      <c r="J59" s="16"/>
      <c r="K59" s="8"/>
      <c r="L59" s="16"/>
    </row>
    <row r="60" spans="1:18" ht="12.75">
      <c r="A60" s="11" t="s">
        <v>34</v>
      </c>
      <c r="B60" s="11"/>
      <c r="C60" s="11"/>
      <c r="D60" s="12">
        <v>173</v>
      </c>
      <c r="E60" s="20">
        <f>D60*1000/67796</f>
        <v>2.5517729659566935</v>
      </c>
      <c r="F60" s="12">
        <v>211</v>
      </c>
      <c r="G60" s="20">
        <f>F60*1000/65421</f>
        <v>3.2252640589413186</v>
      </c>
      <c r="H60" s="11"/>
      <c r="I60" s="8">
        <v>282</v>
      </c>
      <c r="J60" s="20">
        <f>I60*1000/(97070)</f>
        <v>2.9051200164829503</v>
      </c>
      <c r="K60" s="8">
        <v>270</v>
      </c>
      <c r="L60" s="20">
        <f>K60*1000/(90417)</f>
        <v>2.986164106307442</v>
      </c>
      <c r="M60">
        <v>242</v>
      </c>
      <c r="N60" s="20">
        <f>M60*1000/(88721)</f>
        <v>2.727651852436289</v>
      </c>
      <c r="O60">
        <v>270</v>
      </c>
      <c r="P60" s="20">
        <f>O60*1000/(96466)</f>
        <v>2.7989136068666682</v>
      </c>
      <c r="Q60">
        <v>343</v>
      </c>
      <c r="R60" s="20">
        <f>Q60*1000/(102948)</f>
        <v>3.3317791506391576</v>
      </c>
    </row>
    <row r="61" spans="1:12" ht="12.75">
      <c r="A61" t="s">
        <v>35</v>
      </c>
      <c r="D61" s="8"/>
      <c r="E61" s="16"/>
      <c r="F61" s="8"/>
      <c r="G61" s="16"/>
      <c r="I61" s="8"/>
      <c r="J61" s="16"/>
      <c r="K61" s="8"/>
      <c r="L61" s="16"/>
    </row>
    <row r="62" spans="4:12" ht="12.75">
      <c r="D62" s="8"/>
      <c r="E62" s="16"/>
      <c r="F62" s="8"/>
      <c r="G62" s="16"/>
      <c r="I62" s="8"/>
      <c r="J62" s="16"/>
      <c r="K62" s="8"/>
      <c r="L62" s="16"/>
    </row>
    <row r="63" spans="1:18" ht="12.75">
      <c r="A63" s="11" t="s">
        <v>36</v>
      </c>
      <c r="D63" s="8">
        <v>120</v>
      </c>
      <c r="E63" s="20">
        <f>D63*1000/46062</f>
        <v>2.605184316790413</v>
      </c>
      <c r="F63" s="8">
        <v>145</v>
      </c>
      <c r="G63" s="20">
        <f>F63*1000/45217</f>
        <v>3.206758520025654</v>
      </c>
      <c r="I63" s="8">
        <v>176</v>
      </c>
      <c r="J63" s="20">
        <f>I63*1000/(69488)</f>
        <v>2.532811420676951</v>
      </c>
      <c r="K63" s="8">
        <v>167</v>
      </c>
      <c r="L63" s="20">
        <f>K63*1000/(63532)</f>
        <v>2.6285966127305924</v>
      </c>
      <c r="M63">
        <v>152</v>
      </c>
      <c r="N63" s="20">
        <f>M63*1000/(61922)</f>
        <v>2.4547010755466556</v>
      </c>
      <c r="O63">
        <v>167</v>
      </c>
      <c r="P63" s="20">
        <f>O63*1000/(66955)</f>
        <v>2.4942125308042717</v>
      </c>
      <c r="Q63">
        <v>223</v>
      </c>
      <c r="R63" s="20">
        <f>Q63*1000/(71473)</f>
        <v>3.120059323101031</v>
      </c>
    </row>
    <row r="64" spans="1:12" ht="12.75">
      <c r="A64" t="s">
        <v>35</v>
      </c>
      <c r="D64" s="8"/>
      <c r="E64" s="16"/>
      <c r="F64" s="8"/>
      <c r="G64" s="16"/>
      <c r="I64" s="8"/>
      <c r="J64" s="16"/>
      <c r="K64" s="8"/>
      <c r="L64" s="16"/>
    </row>
    <row r="65" spans="4:7" ht="12.75">
      <c r="D65" s="8"/>
      <c r="E65" s="16"/>
      <c r="F65" s="8"/>
      <c r="G65" s="16"/>
    </row>
    <row r="66" spans="1:18" ht="12.75">
      <c r="A66" t="s">
        <v>65</v>
      </c>
      <c r="D66" s="18" t="s">
        <v>33</v>
      </c>
      <c r="E66" s="19" t="s">
        <v>33</v>
      </c>
      <c r="F66" s="18" t="s">
        <v>33</v>
      </c>
      <c r="G66" s="19" t="s">
        <v>33</v>
      </c>
      <c r="I66" s="8">
        <v>608</v>
      </c>
      <c r="J66" s="20">
        <f>I66*1000/(28092)</f>
        <v>21.643172433433005</v>
      </c>
      <c r="K66" s="8">
        <v>451</v>
      </c>
      <c r="L66" s="20">
        <f>K66*1000/(26885)</f>
        <v>16.775153431281385</v>
      </c>
      <c r="M66">
        <v>458</v>
      </c>
      <c r="N66" s="20">
        <f>M66*1000/(26799)</f>
        <v>17.090189932460166</v>
      </c>
      <c r="O66">
        <v>528</v>
      </c>
      <c r="P66" s="20">
        <f>O66*1000/(29511)</f>
        <v>17.89163362813866</v>
      </c>
      <c r="Q66">
        <v>505</v>
      </c>
      <c r="R66" s="20">
        <f>Q66*1000/(31475)</f>
        <v>16.044479745830024</v>
      </c>
    </row>
    <row r="67" spans="4:12" ht="12.75">
      <c r="D67" s="8"/>
      <c r="E67" s="16"/>
      <c r="F67" s="8"/>
      <c r="G67" s="16"/>
      <c r="I67" s="8"/>
      <c r="J67" s="16"/>
      <c r="K67" s="8"/>
      <c r="L67" s="16"/>
    </row>
    <row r="68" spans="1:18" ht="12.75">
      <c r="A68" t="s">
        <v>37</v>
      </c>
      <c r="D68" s="8">
        <v>1320</v>
      </c>
      <c r="E68" s="20">
        <f>D68*1000/46062</f>
        <v>28.65702748469454</v>
      </c>
      <c r="F68" s="8">
        <v>1300</v>
      </c>
      <c r="G68" s="20">
        <f>F68*1000/45217</f>
        <v>28.75024880023</v>
      </c>
      <c r="I68" s="8">
        <v>1140</v>
      </c>
      <c r="J68" s="20">
        <f>I68*1000/(69488)</f>
        <v>16.405710338475707</v>
      </c>
      <c r="K68" s="8">
        <v>1093</v>
      </c>
      <c r="L68" s="20">
        <f>K68*1000/(63532)</f>
        <v>17.203928728829567</v>
      </c>
      <c r="M68">
        <v>1158</v>
      </c>
      <c r="N68" s="20">
        <f>M68*1000/(61922)</f>
        <v>18.70094635186202</v>
      </c>
      <c r="O68">
        <v>1234</v>
      </c>
      <c r="P68" s="20">
        <f>O68*1000/(66955)</f>
        <v>18.430289000074676</v>
      </c>
      <c r="Q68">
        <v>1327</v>
      </c>
      <c r="R68" s="20">
        <f>Q68*1000/(71473)</f>
        <v>18.566451667063088</v>
      </c>
    </row>
    <row r="69" spans="4:12" ht="12.75">
      <c r="D69" s="8"/>
      <c r="E69" s="16"/>
      <c r="F69" s="8"/>
      <c r="G69" s="16"/>
      <c r="I69" s="8"/>
      <c r="J69" s="16"/>
      <c r="K69" s="8"/>
      <c r="L69" s="16"/>
    </row>
    <row r="70" spans="1:18" ht="12.75">
      <c r="A70" t="s">
        <v>38</v>
      </c>
      <c r="D70" s="18" t="s">
        <v>33</v>
      </c>
      <c r="E70" s="19" t="s">
        <v>33</v>
      </c>
      <c r="F70" s="18" t="s">
        <v>33</v>
      </c>
      <c r="G70" s="19" t="s">
        <v>33</v>
      </c>
      <c r="I70" s="8">
        <v>77</v>
      </c>
      <c r="J70" s="16">
        <f>I70*1000/(33488)</f>
        <v>2.29933110367893</v>
      </c>
      <c r="K70" s="8">
        <v>30</v>
      </c>
      <c r="L70" s="16">
        <f>K70*1000/(21648)</f>
        <v>1.3858093126385809</v>
      </c>
      <c r="M70">
        <v>33</v>
      </c>
      <c r="N70" s="16">
        <f>M70*1000/(20099)</f>
        <v>1.6418727299865665</v>
      </c>
      <c r="O70">
        <v>17</v>
      </c>
      <c r="P70" s="16">
        <f>O70*1000/(20705)</f>
        <v>0.8210577155276503</v>
      </c>
      <c r="Q70">
        <v>27</v>
      </c>
      <c r="R70" s="16">
        <f>Q70*1000/(18368)</f>
        <v>1.4699477351916377</v>
      </c>
    </row>
    <row r="71" spans="1:12" ht="12.75">
      <c r="A71" t="s">
        <v>35</v>
      </c>
      <c r="D71" s="8"/>
      <c r="E71" s="16"/>
      <c r="F71" s="8"/>
      <c r="G71" s="16"/>
      <c r="I71" s="8"/>
      <c r="J71" s="16"/>
      <c r="K71" s="8"/>
      <c r="L71" s="16"/>
    </row>
    <row r="72" spans="4:12" ht="12.75">
      <c r="D72" s="8"/>
      <c r="E72" s="16"/>
      <c r="F72" s="8"/>
      <c r="G72" s="16"/>
      <c r="I72" s="8"/>
      <c r="J72" s="16"/>
      <c r="K72" s="8"/>
      <c r="L72" s="16"/>
    </row>
    <row r="73" spans="1:18" ht="12.75">
      <c r="A73" t="s">
        <v>39</v>
      </c>
      <c r="D73" s="8">
        <v>54635</v>
      </c>
      <c r="E73" s="16">
        <f>D73*1000/67796</f>
        <v>805.8735028615257</v>
      </c>
      <c r="F73" s="8">
        <v>48489</v>
      </c>
      <c r="G73" s="16">
        <f>F73*1000/65421</f>
        <v>741.1840234786995</v>
      </c>
      <c r="I73" s="8">
        <v>54967</v>
      </c>
      <c r="J73" s="20">
        <f>I73*1000/(97070)</f>
        <v>566.2614608014835</v>
      </c>
      <c r="K73" s="8">
        <v>51201</v>
      </c>
      <c r="L73" s="20">
        <f>K73*1000/(90417)</f>
        <v>566.2762533594346</v>
      </c>
      <c r="M73">
        <v>53714</v>
      </c>
      <c r="N73" s="20">
        <f>M73*1000/(88721)</f>
        <v>605.4259983543918</v>
      </c>
      <c r="O73">
        <v>68274</v>
      </c>
      <c r="P73" s="20">
        <f>O73*1000/(96466)</f>
        <v>707.7519540563515</v>
      </c>
      <c r="Q73">
        <v>74302</v>
      </c>
      <c r="R73" s="20">
        <f>Q73*1000/(102948)</f>
        <v>721.7430158915181</v>
      </c>
    </row>
    <row r="74" spans="4:12" ht="12.75">
      <c r="D74" s="8"/>
      <c r="E74" s="16"/>
      <c r="F74" s="8"/>
      <c r="G74" s="16"/>
      <c r="I74" s="8"/>
      <c r="J74" s="16"/>
      <c r="K74" s="8"/>
      <c r="L74" s="16"/>
    </row>
    <row r="75" spans="1:18" ht="12.75">
      <c r="A75" t="s">
        <v>40</v>
      </c>
      <c r="D75" s="18" t="s">
        <v>33</v>
      </c>
      <c r="E75" s="19" t="s">
        <v>33</v>
      </c>
      <c r="F75" s="18" t="s">
        <v>33</v>
      </c>
      <c r="G75" s="19" t="s">
        <v>33</v>
      </c>
      <c r="I75" s="8">
        <v>36298</v>
      </c>
      <c r="J75" s="16">
        <f>I75*1000/(33488)</f>
        <v>1083.9106545628285</v>
      </c>
      <c r="K75" s="8">
        <v>28899</v>
      </c>
      <c r="L75" s="16">
        <f>K75*1000/(21648)</f>
        <v>1334.950110864745</v>
      </c>
      <c r="M75">
        <v>25586</v>
      </c>
      <c r="N75" s="16">
        <f>M75*1000/(20099)</f>
        <v>1272.9986566495845</v>
      </c>
      <c r="O75">
        <v>26715</v>
      </c>
      <c r="P75" s="16">
        <f>O75*1000/(20705)</f>
        <v>1290.2680511953633</v>
      </c>
      <c r="Q75">
        <v>32073</v>
      </c>
      <c r="R75" s="16">
        <f>Q75*1000/(18368)</f>
        <v>1746.134581881533</v>
      </c>
    </row>
    <row r="76" spans="4:12" ht="12.75">
      <c r="D76" s="8"/>
      <c r="E76" s="16"/>
      <c r="F76" s="8"/>
      <c r="G76" s="16"/>
      <c r="I76" s="8"/>
      <c r="J76" s="16"/>
      <c r="K76" s="8"/>
      <c r="L76" s="16"/>
    </row>
    <row r="77" spans="1:18" ht="12.75">
      <c r="A77" t="s">
        <v>41</v>
      </c>
      <c r="D77" s="18" t="s">
        <v>33</v>
      </c>
      <c r="E77" s="19" t="s">
        <v>33</v>
      </c>
      <c r="F77" s="18" t="s">
        <v>33</v>
      </c>
      <c r="G77" s="19" t="s">
        <v>33</v>
      </c>
      <c r="I77" s="8">
        <v>114</v>
      </c>
      <c r="J77" s="16">
        <f>I77*1000/(26681)</f>
        <v>4.272703421910723</v>
      </c>
      <c r="K77" s="8">
        <v>87</v>
      </c>
      <c r="L77" s="16">
        <f>K77*1000/(17944)</f>
        <v>4.848417298261257</v>
      </c>
      <c r="M77">
        <v>57</v>
      </c>
      <c r="N77" s="16">
        <f>M77*1000/(16718)</f>
        <v>3.409498743868884</v>
      </c>
      <c r="O77">
        <v>60</v>
      </c>
      <c r="P77" s="16">
        <f>O77*1000/(17123)</f>
        <v>3.5040588681889857</v>
      </c>
      <c r="Q77">
        <v>58</v>
      </c>
      <c r="R77" s="16">
        <f>Q77*1000/(18368)</f>
        <v>3.157665505226481</v>
      </c>
    </row>
    <row r="78" spans="4:12" ht="12.75">
      <c r="D78" s="8"/>
      <c r="E78" s="16"/>
      <c r="F78" s="8"/>
      <c r="G78" s="16"/>
      <c r="I78" s="8"/>
      <c r="J78" s="16"/>
      <c r="K78" s="8"/>
      <c r="L78" s="16"/>
    </row>
    <row r="79" spans="1:18" ht="12.75">
      <c r="A79" t="s">
        <v>42</v>
      </c>
      <c r="D79" s="8">
        <v>695</v>
      </c>
      <c r="E79" s="16">
        <f>D79*1000/67796</f>
        <v>10.251342262080358</v>
      </c>
      <c r="F79" s="8">
        <v>637</v>
      </c>
      <c r="G79" s="16">
        <v>12</v>
      </c>
      <c r="I79" s="8">
        <v>1018</v>
      </c>
      <c r="J79" s="20">
        <f>I79*1000/(97070)</f>
        <v>10.487277222622849</v>
      </c>
      <c r="K79" s="8">
        <v>953</v>
      </c>
      <c r="L79" s="20">
        <f>K79*1000/(90417)</f>
        <v>10.540053308559232</v>
      </c>
      <c r="M79">
        <v>914</v>
      </c>
      <c r="N79" s="20">
        <f>M79*1000/(88721)</f>
        <v>10.301957822837885</v>
      </c>
      <c r="O79">
        <v>1141</v>
      </c>
      <c r="P79" s="20">
        <f>O79*1000/(96466)</f>
        <v>11.828001575684697</v>
      </c>
      <c r="Q79">
        <v>1225</v>
      </c>
      <c r="R79" s="20">
        <f>Q79*1000/(102948)</f>
        <v>11.899211252282706</v>
      </c>
    </row>
    <row r="80" spans="4:13" ht="12.75">
      <c r="D80" s="8"/>
      <c r="E80" s="16"/>
      <c r="F80" s="8"/>
      <c r="G80" s="16"/>
      <c r="I80" s="8"/>
      <c r="J80" s="16"/>
      <c r="M80" s="8"/>
    </row>
    <row r="81" spans="6:10" ht="12.75">
      <c r="F81" s="8"/>
      <c r="G81" s="16"/>
      <c r="I81" s="8"/>
      <c r="J81" s="16"/>
    </row>
    <row r="82" spans="6:10" ht="12.75">
      <c r="F82" s="8"/>
      <c r="G82" s="16"/>
      <c r="I82" s="8"/>
      <c r="J82" s="16"/>
    </row>
    <row r="83" spans="6:10" ht="12.75">
      <c r="F83" s="8"/>
      <c r="G83" s="16"/>
      <c r="I83" s="8"/>
      <c r="J83" s="16"/>
    </row>
    <row r="84" spans="1:10" ht="12.75">
      <c r="A84" t="s">
        <v>43</v>
      </c>
      <c r="F84" s="8"/>
      <c r="G84" s="16"/>
      <c r="J84" s="16"/>
    </row>
    <row r="85" spans="1:7" ht="12.75">
      <c r="A85" t="s">
        <v>44</v>
      </c>
      <c r="F85" s="8"/>
      <c r="G85" s="16"/>
    </row>
    <row r="86" spans="1:7" ht="12.75">
      <c r="A86" t="s">
        <v>16</v>
      </c>
      <c r="F86" s="8"/>
      <c r="G86" s="16"/>
    </row>
    <row r="87" spans="6:7" ht="12.75">
      <c r="F87" s="8"/>
      <c r="G87" s="16"/>
    </row>
    <row r="88" spans="1:7" ht="12.75">
      <c r="A88" s="41"/>
      <c r="F88" s="8"/>
      <c r="G88" s="16"/>
    </row>
    <row r="89" spans="1:7" ht="12.75">
      <c r="A89" t="s">
        <v>89</v>
      </c>
      <c r="F89" s="8"/>
      <c r="G89" s="16"/>
    </row>
    <row r="90" spans="6:7" ht="12.75">
      <c r="F90" s="8"/>
      <c r="G90" s="16"/>
    </row>
    <row r="91" spans="1:7" ht="12.75">
      <c r="A91" t="s">
        <v>49</v>
      </c>
      <c r="F91" s="8"/>
      <c r="G91" s="16"/>
    </row>
    <row r="92" spans="1:7" ht="12.75">
      <c r="A92" s="29">
        <v>40626</v>
      </c>
      <c r="F92" s="8"/>
      <c r="G92" s="16"/>
    </row>
    <row r="93" spans="6:7" ht="12.75">
      <c r="F93" s="8"/>
      <c r="G93" s="16"/>
    </row>
    <row r="94" spans="6:7" ht="12.75">
      <c r="F94" s="8"/>
      <c r="G94" s="16"/>
    </row>
    <row r="95" spans="6:7" ht="12.75">
      <c r="F95" s="8"/>
      <c r="G95" s="16"/>
    </row>
    <row r="96" spans="6:7" ht="12.75">
      <c r="F96" s="8"/>
      <c r="G96" s="16"/>
    </row>
    <row r="97" spans="6:7" ht="12.75">
      <c r="F97" s="8"/>
      <c r="G97" s="16"/>
    </row>
    <row r="98" spans="6:7" ht="12.75">
      <c r="F98" s="8"/>
      <c r="G98" s="16"/>
    </row>
    <row r="99" spans="6:7" ht="12.75">
      <c r="F99" s="8"/>
      <c r="G99" s="16"/>
    </row>
    <row r="100" spans="6:7" ht="12.75">
      <c r="F100" s="8"/>
      <c r="G100" s="16"/>
    </row>
    <row r="101" spans="6:7" ht="12.75">
      <c r="F101" s="8"/>
      <c r="G101" s="16"/>
    </row>
    <row r="102" spans="6:7" ht="12.75">
      <c r="F102" s="8"/>
      <c r="G102" s="16"/>
    </row>
    <row r="103" spans="6:7" ht="12.75">
      <c r="F103" s="8"/>
      <c r="G103" s="16"/>
    </row>
    <row r="104" spans="1:11" ht="15">
      <c r="A104" s="1" t="s">
        <v>0</v>
      </c>
      <c r="B104" s="2"/>
      <c r="C104" s="2"/>
      <c r="D104" s="2"/>
      <c r="E104" s="2"/>
      <c r="F104" s="21"/>
      <c r="G104" s="22"/>
      <c r="H104" s="2"/>
      <c r="I104" s="2"/>
      <c r="J104" s="2"/>
      <c r="K104" s="2"/>
    </row>
    <row r="105" spans="1:11" ht="15">
      <c r="A105" s="1" t="s">
        <v>82</v>
      </c>
      <c r="B105" s="2"/>
      <c r="C105" s="2"/>
      <c r="D105" s="2"/>
      <c r="E105" s="2"/>
      <c r="F105" s="21"/>
      <c r="G105" s="22"/>
      <c r="H105" s="2"/>
      <c r="I105" s="2"/>
      <c r="J105" s="2"/>
      <c r="K105" s="2"/>
    </row>
    <row r="106" spans="1:7" ht="12.75">
      <c r="A106" s="3"/>
      <c r="F106" s="8"/>
      <c r="G106" s="16"/>
    </row>
    <row r="107" spans="1:17" ht="12.75">
      <c r="A107" s="3"/>
      <c r="D107" s="4" t="s">
        <v>68</v>
      </c>
      <c r="E107" s="4"/>
      <c r="F107" s="4"/>
      <c r="G107" s="4"/>
      <c r="I107" s="61" t="s">
        <v>69</v>
      </c>
      <c r="J107" s="61"/>
      <c r="K107" s="61"/>
      <c r="L107" s="61"/>
      <c r="M107" s="61"/>
      <c r="N107" s="61"/>
      <c r="O107" s="61"/>
      <c r="P107" s="61"/>
      <c r="Q107" s="61"/>
    </row>
    <row r="108" spans="6:18" ht="12.75">
      <c r="F108" s="23" t="s">
        <v>1</v>
      </c>
      <c r="G108" s="24"/>
      <c r="Q108" s="63" t="s">
        <v>86</v>
      </c>
      <c r="R108" s="63"/>
    </row>
    <row r="109" spans="1:19" ht="12.75">
      <c r="A109" s="6" t="s">
        <v>2</v>
      </c>
      <c r="D109" s="4" t="s">
        <v>3</v>
      </c>
      <c r="E109" s="4"/>
      <c r="F109" s="23" t="s">
        <v>4</v>
      </c>
      <c r="G109" s="24"/>
      <c r="I109" s="62" t="s">
        <v>51</v>
      </c>
      <c r="J109" s="62"/>
      <c r="K109" s="62" t="s">
        <v>52</v>
      </c>
      <c r="L109" s="62"/>
      <c r="M109" s="62" t="s">
        <v>83</v>
      </c>
      <c r="N109" s="62"/>
      <c r="O109" s="62" t="s">
        <v>84</v>
      </c>
      <c r="P109" s="62"/>
      <c r="Q109" s="62" t="s">
        <v>85</v>
      </c>
      <c r="R109" s="62"/>
      <c r="S109" s="5" t="s">
        <v>5</v>
      </c>
    </row>
    <row r="110" spans="4:19" ht="12.75">
      <c r="D110" s="7" t="s">
        <v>6</v>
      </c>
      <c r="E110" s="7" t="s">
        <v>7</v>
      </c>
      <c r="F110" s="25" t="s">
        <v>8</v>
      </c>
      <c r="G110" s="26" t="s">
        <v>7</v>
      </c>
      <c r="I110" s="7" t="s">
        <v>8</v>
      </c>
      <c r="J110" s="7" t="s">
        <v>7</v>
      </c>
      <c r="K110" s="7" t="s">
        <v>8</v>
      </c>
      <c r="L110" s="7" t="s">
        <v>7</v>
      </c>
      <c r="M110" s="7" t="s">
        <v>8</v>
      </c>
      <c r="N110" s="7" t="s">
        <v>7</v>
      </c>
      <c r="O110" s="7" t="s">
        <v>8</v>
      </c>
      <c r="P110" s="7" t="s">
        <v>7</v>
      </c>
      <c r="Q110" s="7" t="s">
        <v>8</v>
      </c>
      <c r="R110" s="7" t="s">
        <v>7</v>
      </c>
      <c r="S110" s="5" t="s">
        <v>9</v>
      </c>
    </row>
    <row r="111" spans="2:19" ht="12.75">
      <c r="B111" t="s">
        <v>10</v>
      </c>
      <c r="D111" s="8">
        <v>8591</v>
      </c>
      <c r="E111" s="9">
        <f>D111/D115</f>
        <v>0.9244592704185947</v>
      </c>
      <c r="F111" s="8">
        <v>8859</v>
      </c>
      <c r="G111" s="9">
        <f>F111/F115</f>
        <v>0.9252219321148825</v>
      </c>
      <c r="I111" s="8">
        <v>9045</v>
      </c>
      <c r="J111" s="9">
        <f>I111/I115</f>
        <v>0.9186471663619744</v>
      </c>
      <c r="K111" s="8">
        <v>9123</v>
      </c>
      <c r="L111" s="9">
        <f>K111/K115</f>
        <v>0.9161478208475597</v>
      </c>
      <c r="M111" s="8">
        <v>9444</v>
      </c>
      <c r="N111" s="9">
        <f>M111/M115</f>
        <v>0.9137880986937591</v>
      </c>
      <c r="O111" s="8">
        <v>9109</v>
      </c>
      <c r="P111" s="9">
        <f>O111/O115</f>
        <v>0.921217637540453</v>
      </c>
      <c r="Q111" s="8">
        <v>7057</v>
      </c>
      <c r="R111" s="9">
        <f>Q111/Q115</f>
        <v>0.8175393883225208</v>
      </c>
      <c r="S111" s="10" t="s">
        <v>11</v>
      </c>
    </row>
    <row r="112" spans="2:19" ht="12.75">
      <c r="B112" t="s">
        <v>12</v>
      </c>
      <c r="D112" s="8">
        <v>530</v>
      </c>
      <c r="E112" s="9">
        <f>D112/D115</f>
        <v>0.05703217475519208</v>
      </c>
      <c r="F112" s="8">
        <v>542</v>
      </c>
      <c r="G112" s="9">
        <f>F112/F115</f>
        <v>0.056605744125326374</v>
      </c>
      <c r="I112" s="8">
        <v>655</v>
      </c>
      <c r="J112" s="9">
        <f>I112/I115</f>
        <v>0.06652447694495227</v>
      </c>
      <c r="K112" s="8">
        <v>629</v>
      </c>
      <c r="L112" s="9">
        <f>K112/K115</f>
        <v>0.06316529423579031</v>
      </c>
      <c r="M112" s="8">
        <v>686</v>
      </c>
      <c r="N112" s="9">
        <f>M112/M115</f>
        <v>0.06637639090469279</v>
      </c>
      <c r="O112" s="8">
        <v>595</v>
      </c>
      <c r="P112" s="9">
        <f>O112/O115</f>
        <v>0.06017394822006473</v>
      </c>
      <c r="Q112" s="8">
        <v>1253</v>
      </c>
      <c r="R112" s="9">
        <f>Q112/Q115</f>
        <v>0.14515755329008342</v>
      </c>
      <c r="S112" s="10" t="s">
        <v>11</v>
      </c>
    </row>
    <row r="113" spans="2:19" ht="12.75">
      <c r="B113" t="s">
        <v>13</v>
      </c>
      <c r="D113" s="8">
        <v>97</v>
      </c>
      <c r="E113" s="9">
        <f>D113/D115</f>
        <v>0.010437964058969117</v>
      </c>
      <c r="F113" s="8">
        <v>89</v>
      </c>
      <c r="G113" s="9">
        <f>F113/F115</f>
        <v>0.009295039164490862</v>
      </c>
      <c r="I113" s="8">
        <v>81</v>
      </c>
      <c r="J113" s="9">
        <f>I113/I115</f>
        <v>0.008226691042047532</v>
      </c>
      <c r="K113" s="8">
        <v>103</v>
      </c>
      <c r="L113" s="9">
        <f>K113/K115</f>
        <v>0.010343442458324964</v>
      </c>
      <c r="M113" s="8">
        <v>118</v>
      </c>
      <c r="N113" s="9">
        <f>M113/M115</f>
        <v>0.011417513304305757</v>
      </c>
      <c r="O113" s="8">
        <v>105</v>
      </c>
      <c r="P113" s="9">
        <f>O113/O115</f>
        <v>0.010618932038834952</v>
      </c>
      <c r="Q113" s="8">
        <v>234</v>
      </c>
      <c r="R113" s="9">
        <f>Q113/Q115</f>
        <v>0.02710843373493976</v>
      </c>
      <c r="S113" s="10" t="s">
        <v>11</v>
      </c>
    </row>
    <row r="114" spans="2:19" ht="12.75">
      <c r="B114" s="11" t="s">
        <v>15</v>
      </c>
      <c r="C114" s="11"/>
      <c r="D114" s="12">
        <v>75</v>
      </c>
      <c r="E114" s="13">
        <f>D114/D115</f>
        <v>0.008070590767244163</v>
      </c>
      <c r="F114" s="12">
        <v>85</v>
      </c>
      <c r="G114" s="13">
        <f>F114/F115</f>
        <v>0.008877284595300261</v>
      </c>
      <c r="H114" s="11" t="s">
        <v>16</v>
      </c>
      <c r="I114" s="12">
        <v>65</v>
      </c>
      <c r="J114" s="13">
        <f>I114/I115</f>
        <v>0.006601665651025797</v>
      </c>
      <c r="K114" s="12">
        <v>103</v>
      </c>
      <c r="L114" s="13">
        <f>K114/K115</f>
        <v>0.010343442458324964</v>
      </c>
      <c r="M114" s="12">
        <v>87</v>
      </c>
      <c r="N114" s="13">
        <f>M114/M115</f>
        <v>0.00841799709724238</v>
      </c>
      <c r="O114" s="12">
        <v>79</v>
      </c>
      <c r="P114" s="13">
        <f>O114/O115</f>
        <v>0.00798948220064725</v>
      </c>
      <c r="Q114" s="12">
        <v>88</v>
      </c>
      <c r="R114" s="13">
        <f>Q114/Q115</f>
        <v>0.010194624652455977</v>
      </c>
      <c r="S114" s="15" t="s">
        <v>14</v>
      </c>
    </row>
    <row r="115" spans="2:19" ht="12.75">
      <c r="B115" t="s">
        <v>17</v>
      </c>
      <c r="D115" s="8">
        <f>SUM(D111:D114)</f>
        <v>9293</v>
      </c>
      <c r="E115" s="9"/>
      <c r="F115" s="8">
        <f>SUM(F111:F114)</f>
        <v>9575</v>
      </c>
      <c r="G115" s="9"/>
      <c r="I115" s="8">
        <f>SUM(I111:I114)</f>
        <v>9846</v>
      </c>
      <c r="K115" s="8">
        <f>SUM(K111:K114)</f>
        <v>9958</v>
      </c>
      <c r="M115" s="8">
        <f>SUM(M111:M114)</f>
        <v>10335</v>
      </c>
      <c r="O115" s="8">
        <f>SUM(O111:O114)</f>
        <v>9888</v>
      </c>
      <c r="Q115" s="8">
        <f>SUM(Q111:Q114)</f>
        <v>8632</v>
      </c>
      <c r="S115" s="10"/>
    </row>
    <row r="116" spans="4:19" ht="12.75">
      <c r="D116" s="8"/>
      <c r="E116" t="s">
        <v>16</v>
      </c>
      <c r="F116" s="8"/>
      <c r="G116" s="9"/>
      <c r="I116" s="8"/>
      <c r="K116" s="8"/>
      <c r="M116" s="8"/>
      <c r="O116" s="8"/>
      <c r="Q116" s="8"/>
      <c r="S116" s="10"/>
    </row>
    <row r="117" spans="1:19" ht="12.75">
      <c r="A117" s="14" t="s">
        <v>18</v>
      </c>
      <c r="B117" s="11"/>
      <c r="C117" s="11"/>
      <c r="D117" s="12">
        <v>545</v>
      </c>
      <c r="E117" s="13">
        <v>0.05961</v>
      </c>
      <c r="F117" s="12">
        <v>563</v>
      </c>
      <c r="G117" s="13">
        <v>0.06028</v>
      </c>
      <c r="H117" s="11"/>
      <c r="I117" s="12">
        <v>560</v>
      </c>
      <c r="J117" s="13">
        <v>0.05782</v>
      </c>
      <c r="K117" s="12">
        <v>672</v>
      </c>
      <c r="L117" s="13">
        <v>0.06852</v>
      </c>
      <c r="M117" s="12">
        <v>676</v>
      </c>
      <c r="N117" s="13">
        <v>0.06691</v>
      </c>
      <c r="O117" s="12">
        <v>598</v>
      </c>
      <c r="P117" s="13">
        <v>0.06197</v>
      </c>
      <c r="Q117" s="12">
        <v>26</v>
      </c>
      <c r="R117" s="13">
        <v>0.12066</v>
      </c>
      <c r="S117" s="15" t="s">
        <v>11</v>
      </c>
    </row>
    <row r="118" spans="4:19" ht="12.75">
      <c r="D118" s="8"/>
      <c r="F118" s="8"/>
      <c r="G118" s="9" t="s">
        <v>16</v>
      </c>
      <c r="I118" s="8"/>
      <c r="K118" s="8"/>
      <c r="M118" s="8"/>
      <c r="O118" s="8"/>
      <c r="Q118" s="8"/>
      <c r="S118" s="10"/>
    </row>
    <row r="119" spans="1:19" ht="12.75">
      <c r="A119" s="6" t="s">
        <v>19</v>
      </c>
      <c r="D119" s="8"/>
      <c r="F119" s="8"/>
      <c r="G119" s="9"/>
      <c r="I119" s="8"/>
      <c r="K119" s="8"/>
      <c r="M119" s="8"/>
      <c r="O119" s="8"/>
      <c r="Q119" s="8"/>
      <c r="S119" s="50"/>
    </row>
    <row r="120" spans="2:19" ht="12.75">
      <c r="B120" s="53" t="s">
        <v>60</v>
      </c>
      <c r="D120" s="8">
        <v>102</v>
      </c>
      <c r="E120" s="9">
        <f>D120/D123</f>
        <v>0.010816542948038176</v>
      </c>
      <c r="F120" s="8">
        <v>119</v>
      </c>
      <c r="G120" s="9">
        <f>F120/F123</f>
        <v>0.012107030216705667</v>
      </c>
      <c r="I120" s="8">
        <v>142</v>
      </c>
      <c r="J120" s="9">
        <f>I120/I123</f>
        <v>0.013946179532508348</v>
      </c>
      <c r="K120" s="8">
        <v>148</v>
      </c>
      <c r="L120" s="9">
        <f>K120/K123</f>
        <v>0.01451122659084224</v>
      </c>
      <c r="M120" s="8">
        <v>143</v>
      </c>
      <c r="N120" s="9">
        <f>M120/M123</f>
        <v>0.01351223660587735</v>
      </c>
      <c r="O120" s="8">
        <v>134</v>
      </c>
      <c r="P120" s="9">
        <f>O120/O123</f>
        <v>0.013188976377952756</v>
      </c>
      <c r="Q120" s="8">
        <v>109</v>
      </c>
      <c r="R120" s="9">
        <f>Q120/Q123</f>
        <v>0.010300510300510301</v>
      </c>
      <c r="S120" s="51" t="s">
        <v>14</v>
      </c>
    </row>
    <row r="121" spans="2:19" ht="12.75">
      <c r="B121" s="53" t="s">
        <v>54</v>
      </c>
      <c r="D121" s="8">
        <v>485</v>
      </c>
      <c r="E121" s="9">
        <f>D121/D123</f>
        <v>0.05143160127253447</v>
      </c>
      <c r="F121" s="8">
        <v>505</v>
      </c>
      <c r="G121" s="9">
        <f>F121/F123</f>
        <v>0.05137857360870892</v>
      </c>
      <c r="I121" s="8">
        <v>548</v>
      </c>
      <c r="J121" s="9">
        <f>I121/I123</f>
        <v>0.05382046749165194</v>
      </c>
      <c r="K121" s="8">
        <v>513</v>
      </c>
      <c r="L121" s="9">
        <f>K121/K123</f>
        <v>0.05029904892636533</v>
      </c>
      <c r="M121" s="8">
        <v>642</v>
      </c>
      <c r="N121" s="9">
        <f>M121/M123</f>
        <v>0.06066332797883398</v>
      </c>
      <c r="O121" s="8">
        <v>573</v>
      </c>
      <c r="P121" s="9">
        <f>O121/O123</f>
        <v>0.05639763779527559</v>
      </c>
      <c r="Q121" s="8">
        <v>605</v>
      </c>
      <c r="R121" s="9">
        <f>Q121/Q123</f>
        <v>0.057172557172557176</v>
      </c>
      <c r="S121" s="51" t="s">
        <v>14</v>
      </c>
    </row>
    <row r="122" spans="2:19" ht="12.75">
      <c r="B122" t="s">
        <v>20</v>
      </c>
      <c r="D122" s="8">
        <v>8839</v>
      </c>
      <c r="E122" s="9">
        <f>D122/D123</f>
        <v>0.9373276776246023</v>
      </c>
      <c r="F122" s="8">
        <v>9204</v>
      </c>
      <c r="G122" s="9">
        <f>F122/F123</f>
        <v>0.9364126564248652</v>
      </c>
      <c r="I122" s="8">
        <v>9487</v>
      </c>
      <c r="J122" s="9">
        <f>I122/I123</f>
        <v>0.9317422903162443</v>
      </c>
      <c r="K122" s="8">
        <v>9535</v>
      </c>
      <c r="L122" s="9">
        <f>K122/K123</f>
        <v>0.934895577997843</v>
      </c>
      <c r="M122" s="8">
        <v>9789</v>
      </c>
      <c r="N122" s="9">
        <f>M122/M123</f>
        <v>0.9249740149296041</v>
      </c>
      <c r="O122" s="8">
        <v>9447</v>
      </c>
      <c r="P122" s="9">
        <f>O122/O123</f>
        <v>0.9298228346456693</v>
      </c>
      <c r="Q122" s="8">
        <v>9855</v>
      </c>
      <c r="R122" s="9">
        <f>Q122/Q123</f>
        <v>0.9312984312984313</v>
      </c>
      <c r="S122" s="51" t="s">
        <v>14</v>
      </c>
    </row>
    <row r="123" spans="2:19" ht="12.75">
      <c r="B123" t="s">
        <v>17</v>
      </c>
      <c r="D123" s="8">
        <v>9430</v>
      </c>
      <c r="E123" s="9"/>
      <c r="F123" s="8">
        <v>9829</v>
      </c>
      <c r="G123" s="9"/>
      <c r="I123" s="8">
        <v>10182</v>
      </c>
      <c r="K123" s="8">
        <v>10199</v>
      </c>
      <c r="M123" s="8">
        <v>10583</v>
      </c>
      <c r="O123" s="8">
        <v>10160</v>
      </c>
      <c r="Q123" s="8">
        <v>10582</v>
      </c>
      <c r="S123" s="10"/>
    </row>
    <row r="124" spans="4:19" ht="12.75">
      <c r="D124" s="8"/>
      <c r="E124" s="9"/>
      <c r="F124" s="8"/>
      <c r="G124" s="9"/>
      <c r="I124" s="8"/>
      <c r="K124" s="8"/>
      <c r="M124" s="8"/>
      <c r="O124" s="8"/>
      <c r="Q124" s="8"/>
      <c r="S124" s="10"/>
    </row>
    <row r="125" spans="1:19" ht="12.75">
      <c r="A125" s="14" t="s">
        <v>21</v>
      </c>
      <c r="B125" s="11"/>
      <c r="C125" s="11"/>
      <c r="D125" s="12">
        <f>SUM(D120:D121)</f>
        <v>587</v>
      </c>
      <c r="E125" s="13">
        <f>D125/D123</f>
        <v>0.06224814422057264</v>
      </c>
      <c r="F125" s="12">
        <f>SUM(F120:F121)</f>
        <v>624</v>
      </c>
      <c r="G125" s="13">
        <f>F125/F123</f>
        <v>0.06348560382541459</v>
      </c>
      <c r="H125" s="11"/>
      <c r="I125" s="12">
        <f>SUM(I120:I121)</f>
        <v>690</v>
      </c>
      <c r="J125" s="13">
        <f>I125/I123</f>
        <v>0.06776664702416028</v>
      </c>
      <c r="K125" s="12">
        <f>SUM(K120:K121)</f>
        <v>661</v>
      </c>
      <c r="L125" s="13">
        <f>K125/K123</f>
        <v>0.06481027551720757</v>
      </c>
      <c r="M125" s="12">
        <f>SUM(M120:M121)</f>
        <v>785</v>
      </c>
      <c r="N125" s="13">
        <f>M125/M123</f>
        <v>0.07417556458471133</v>
      </c>
      <c r="O125" s="12">
        <f>SUM(O120:O121)</f>
        <v>707</v>
      </c>
      <c r="P125" s="13">
        <f>O125/O123</f>
        <v>0.06958661417322835</v>
      </c>
      <c r="Q125" s="12">
        <f>SUM(Q120:Q121)</f>
        <v>714</v>
      </c>
      <c r="R125" s="13">
        <f>Q125/Q123</f>
        <v>0.06747306747306747</v>
      </c>
      <c r="S125" s="51" t="s">
        <v>14</v>
      </c>
    </row>
    <row r="126" spans="4:19" ht="12.75">
      <c r="D126" s="8"/>
      <c r="F126" s="8"/>
      <c r="G126" s="9"/>
      <c r="I126" s="8"/>
      <c r="K126" s="8"/>
      <c r="M126" s="8"/>
      <c r="O126" s="8"/>
      <c r="Q126" s="8"/>
      <c r="S126" s="10"/>
    </row>
    <row r="127" spans="1:19" ht="12.75">
      <c r="A127" s="53" t="s">
        <v>61</v>
      </c>
      <c r="D127" s="8"/>
      <c r="F127" s="8"/>
      <c r="G127" s="9"/>
      <c r="I127" s="8"/>
      <c r="K127" s="8"/>
      <c r="M127" s="8"/>
      <c r="O127" s="8"/>
      <c r="Q127" s="8"/>
      <c r="S127" s="10"/>
    </row>
    <row r="128" spans="2:19" ht="12.75">
      <c r="B128" s="53" t="s">
        <v>55</v>
      </c>
      <c r="D128" s="8">
        <v>194</v>
      </c>
      <c r="E128" s="9">
        <f>D128/D123</f>
        <v>0.020572640509013786</v>
      </c>
      <c r="F128" s="8">
        <v>223</v>
      </c>
      <c r="G128" s="9">
        <f>F128/F123</f>
        <v>0.022687964187608097</v>
      </c>
      <c r="I128" s="8">
        <v>228</v>
      </c>
      <c r="J128" s="9">
        <f>I128/I123</f>
        <v>0.022392457277548614</v>
      </c>
      <c r="K128" s="8">
        <v>241</v>
      </c>
      <c r="L128" s="9">
        <f>K128/K123</f>
        <v>0.02362976762427689</v>
      </c>
      <c r="M128" s="8">
        <v>246</v>
      </c>
      <c r="N128" s="9">
        <f>M128/M123</f>
        <v>0.023244826608712084</v>
      </c>
      <c r="O128" s="8">
        <v>228</v>
      </c>
      <c r="P128" s="9">
        <f>O128/O123</f>
        <v>0.022440944881889763</v>
      </c>
      <c r="Q128" s="8">
        <v>153</v>
      </c>
      <c r="R128" s="9">
        <f>Q128/8935</f>
        <v>0.017123670956911023</v>
      </c>
      <c r="S128" s="10" t="s">
        <v>11</v>
      </c>
    </row>
    <row r="129" spans="2:19" ht="12.75">
      <c r="B129" s="53" t="s">
        <v>56</v>
      </c>
      <c r="D129" s="8">
        <v>787</v>
      </c>
      <c r="E129" s="9">
        <f>D129/D123</f>
        <v>0.08345705196182397</v>
      </c>
      <c r="F129" s="8">
        <v>801</v>
      </c>
      <c r="G129" s="9">
        <f>F129/F123</f>
        <v>0.08149353952589276</v>
      </c>
      <c r="I129" s="8">
        <v>955</v>
      </c>
      <c r="J129" s="9">
        <f>I129/I123</f>
        <v>0.0937929679827146</v>
      </c>
      <c r="K129" s="8">
        <v>878</v>
      </c>
      <c r="L129" s="9">
        <f>K129/K123</f>
        <v>0.08608687126188842</v>
      </c>
      <c r="M129" s="8">
        <v>894</v>
      </c>
      <c r="N129" s="9">
        <f>M129/M123</f>
        <v>0.08447510157800246</v>
      </c>
      <c r="O129" s="8">
        <v>893</v>
      </c>
      <c r="P129" s="9">
        <f>O129/O123</f>
        <v>0.08789370078740158</v>
      </c>
      <c r="Q129" s="8">
        <v>721</v>
      </c>
      <c r="R129" s="9">
        <f>Q129/8935</f>
        <v>0.08069390039171796</v>
      </c>
      <c r="S129" s="10" t="s">
        <v>14</v>
      </c>
    </row>
    <row r="130" spans="4:19" ht="12.75">
      <c r="D130" s="8"/>
      <c r="F130" s="8"/>
      <c r="G130" s="9"/>
      <c r="I130" s="8"/>
      <c r="K130" s="8"/>
      <c r="M130" s="8"/>
      <c r="O130" s="8"/>
      <c r="Q130" s="8"/>
      <c r="S130" s="10"/>
    </row>
    <row r="131" spans="1:19" ht="12.75">
      <c r="A131" s="6" t="s">
        <v>22</v>
      </c>
      <c r="D131" s="8"/>
      <c r="F131" s="8"/>
      <c r="G131" s="9"/>
      <c r="I131" s="8"/>
      <c r="K131" s="8"/>
      <c r="M131" s="8"/>
      <c r="O131" s="8"/>
      <c r="Q131" s="8"/>
      <c r="S131" s="10"/>
    </row>
    <row r="132" spans="2:19" ht="12.75">
      <c r="B132" s="11" t="s">
        <v>23</v>
      </c>
      <c r="C132" s="11"/>
      <c r="D132" s="12">
        <v>1936</v>
      </c>
      <c r="E132" s="13">
        <f>D132/D123</f>
        <v>0.20530222693531283</v>
      </c>
      <c r="F132" s="12">
        <v>1936</v>
      </c>
      <c r="G132" s="13">
        <f>F132/F123</f>
        <v>0.19696815545833757</v>
      </c>
      <c r="H132" s="11"/>
      <c r="I132" s="12">
        <v>3100</v>
      </c>
      <c r="J132" s="13">
        <f>I132/I123</f>
        <v>0.3044588489491259</v>
      </c>
      <c r="K132" s="12">
        <v>3163</v>
      </c>
      <c r="L132" s="13">
        <f>K132/K123</f>
        <v>0.3101284439650946</v>
      </c>
      <c r="M132" s="12">
        <v>3361</v>
      </c>
      <c r="N132" s="13">
        <f>M132/M123</f>
        <v>0.3175848058206558</v>
      </c>
      <c r="O132" s="12">
        <v>3298</v>
      </c>
      <c r="P132" s="13">
        <f>O132/O123</f>
        <v>0.3246062992125984</v>
      </c>
      <c r="Q132" s="12">
        <v>3273</v>
      </c>
      <c r="R132" s="13">
        <f>Q132/Q123</f>
        <v>0.3092988092988093</v>
      </c>
      <c r="S132" s="15" t="s">
        <v>14</v>
      </c>
    </row>
    <row r="133" spans="2:19" ht="12.75">
      <c r="B133" t="s">
        <v>24</v>
      </c>
      <c r="D133" s="8">
        <v>369</v>
      </c>
      <c r="E133" s="9">
        <f>D133/1031</f>
        <v>0.35790494665373423</v>
      </c>
      <c r="F133" s="8">
        <v>358</v>
      </c>
      <c r="G133" s="9">
        <f>F133/991</f>
        <v>0.3612512613521695</v>
      </c>
      <c r="I133" s="8">
        <v>100</v>
      </c>
      <c r="J133" s="9">
        <f>I133/1220</f>
        <v>0.08196721311475409</v>
      </c>
      <c r="K133" s="8">
        <v>76</v>
      </c>
      <c r="L133" s="9">
        <v>0.09245</v>
      </c>
      <c r="M133" s="8">
        <v>93</v>
      </c>
      <c r="N133" s="9">
        <v>0.066429</v>
      </c>
      <c r="O133" s="8">
        <v>115</v>
      </c>
      <c r="P133" s="9">
        <v>0.081502</v>
      </c>
      <c r="Q133" s="8">
        <v>131</v>
      </c>
      <c r="R133" s="9">
        <v>0.1025</v>
      </c>
      <c r="S133" s="15" t="s">
        <v>14</v>
      </c>
    </row>
    <row r="134" spans="4:19" ht="12.75">
      <c r="D134" s="8"/>
      <c r="F134" s="8"/>
      <c r="G134" s="9"/>
      <c r="I134" s="8"/>
      <c r="K134" s="8"/>
      <c r="M134" s="8"/>
      <c r="O134" s="8"/>
      <c r="Q134" s="8"/>
      <c r="S134" s="10"/>
    </row>
    <row r="135" spans="1:19" ht="12.75">
      <c r="A135" s="53" t="s">
        <v>62</v>
      </c>
      <c r="D135" s="8">
        <v>1352</v>
      </c>
      <c r="E135" s="9">
        <v>0.16295</v>
      </c>
      <c r="F135" s="8">
        <v>1481</v>
      </c>
      <c r="G135" s="9">
        <v>0.15578</v>
      </c>
      <c r="I135" s="8">
        <v>2034</v>
      </c>
      <c r="J135" s="9">
        <v>0.20766</v>
      </c>
      <c r="K135" s="8">
        <v>2042</v>
      </c>
      <c r="L135" s="9">
        <v>0.20869</v>
      </c>
      <c r="M135" s="8">
        <v>2157</v>
      </c>
      <c r="N135" s="9">
        <v>0.21388</v>
      </c>
      <c r="O135" s="8">
        <v>2183</v>
      </c>
      <c r="P135" s="9">
        <v>0.22454</v>
      </c>
      <c r="Q135" s="8">
        <v>2314</v>
      </c>
      <c r="R135" s="9">
        <v>0.22199</v>
      </c>
      <c r="S135" s="10" t="s">
        <v>14</v>
      </c>
    </row>
    <row r="136" spans="4:19" ht="12.75">
      <c r="D136" s="8"/>
      <c r="F136" s="8"/>
      <c r="G136" s="9"/>
      <c r="I136" s="8"/>
      <c r="K136" s="8"/>
      <c r="M136" s="8"/>
      <c r="O136" s="8"/>
      <c r="Q136" s="8"/>
      <c r="S136" s="10"/>
    </row>
    <row r="137" spans="1:19" ht="12.75">
      <c r="A137" s="14" t="s">
        <v>25</v>
      </c>
      <c r="B137" s="11"/>
      <c r="C137" s="11"/>
      <c r="D137" s="12">
        <v>1122</v>
      </c>
      <c r="E137" s="13">
        <f>D137/D123</f>
        <v>0.11898197242841993</v>
      </c>
      <c r="F137" s="12">
        <v>1162</v>
      </c>
      <c r="G137" s="13">
        <f>F137/F123</f>
        <v>0.11822158917489063</v>
      </c>
      <c r="H137" s="11"/>
      <c r="I137" s="12">
        <v>729</v>
      </c>
      <c r="J137" s="13">
        <f>I137/I123</f>
        <v>0.07159693576900412</v>
      </c>
      <c r="K137" s="12">
        <v>687</v>
      </c>
      <c r="L137" s="13">
        <f>K137/K123</f>
        <v>0.06735954505343661</v>
      </c>
      <c r="M137" s="12">
        <v>763</v>
      </c>
      <c r="N137" s="13">
        <f>M137/M123</f>
        <v>0.0720967589530379</v>
      </c>
      <c r="O137" s="12">
        <v>607</v>
      </c>
      <c r="P137" s="13">
        <f>O137/O123</f>
        <v>0.05974409448818897</v>
      </c>
      <c r="Q137" s="12">
        <v>898</v>
      </c>
      <c r="R137" s="13">
        <f>Q137/Q123</f>
        <v>0.08486108486108486</v>
      </c>
      <c r="S137" s="15" t="s">
        <v>11</v>
      </c>
    </row>
    <row r="138" spans="1:19" ht="12.75">
      <c r="A138" s="6"/>
      <c r="D138" s="8"/>
      <c r="E138" s="9" t="s">
        <v>16</v>
      </c>
      <c r="F138" s="8"/>
      <c r="G138" s="9" t="s">
        <v>16</v>
      </c>
      <c r="I138" s="8"/>
      <c r="K138" s="8"/>
      <c r="M138" s="8"/>
      <c r="O138" s="8"/>
      <c r="Q138" s="8"/>
      <c r="S138" s="10"/>
    </row>
    <row r="139" spans="1:19" ht="12.75">
      <c r="A139" s="14" t="s">
        <v>26</v>
      </c>
      <c r="B139" s="11"/>
      <c r="C139" s="11"/>
      <c r="D139" s="12">
        <v>390</v>
      </c>
      <c r="E139" s="13">
        <v>0.07504</v>
      </c>
      <c r="F139" s="12">
        <v>818</v>
      </c>
      <c r="G139" s="13">
        <v>0.07907</v>
      </c>
      <c r="H139" s="11"/>
      <c r="I139" s="12">
        <v>483</v>
      </c>
      <c r="J139" s="13">
        <v>0.08573</v>
      </c>
      <c r="K139" s="12">
        <v>502</v>
      </c>
      <c r="L139" s="13">
        <v>0.0899</v>
      </c>
      <c r="M139" s="12">
        <v>559</v>
      </c>
      <c r="N139" s="13">
        <v>0.09562</v>
      </c>
      <c r="O139" s="12">
        <v>456</v>
      </c>
      <c r="P139" s="13">
        <v>0.08201</v>
      </c>
      <c r="Q139" s="12">
        <v>512</v>
      </c>
      <c r="R139" s="13">
        <v>0.08672</v>
      </c>
      <c r="S139" s="15" t="s">
        <v>14</v>
      </c>
    </row>
    <row r="140" spans="1:19" ht="12.75">
      <c r="A140" s="6"/>
      <c r="D140" s="8"/>
      <c r="E140" s="9"/>
      <c r="F140" s="8"/>
      <c r="G140" s="9"/>
      <c r="I140" s="8"/>
      <c r="K140" s="8"/>
      <c r="M140" s="8"/>
      <c r="O140" s="8"/>
      <c r="Q140" s="8"/>
      <c r="S140" s="10"/>
    </row>
    <row r="141" spans="1:19" ht="12.75">
      <c r="A141" s="6" t="s">
        <v>27</v>
      </c>
      <c r="D141" s="8">
        <v>244</v>
      </c>
      <c r="E141" s="9">
        <f>D141/D123</f>
        <v>0.025874867444326616</v>
      </c>
      <c r="F141" s="8">
        <v>221</v>
      </c>
      <c r="G141" s="9">
        <f>F141/F123</f>
        <v>0.022484484688167668</v>
      </c>
      <c r="I141" s="8">
        <v>185</v>
      </c>
      <c r="J141" s="9">
        <f>I141/I123</f>
        <v>0.018169318405028483</v>
      </c>
      <c r="K141" s="8">
        <v>176</v>
      </c>
      <c r="L141" s="9">
        <f>K141/K123</f>
        <v>0.017256593783704286</v>
      </c>
      <c r="M141" s="8">
        <v>164</v>
      </c>
      <c r="N141" s="9">
        <f>M141/M123</f>
        <v>0.015496551072474723</v>
      </c>
      <c r="O141" s="8">
        <v>142</v>
      </c>
      <c r="P141" s="9">
        <f>O141/O123</f>
        <v>0.013976377952755905</v>
      </c>
      <c r="Q141" s="8">
        <v>137</v>
      </c>
      <c r="R141" s="9">
        <f>Q141/Q123</f>
        <v>0.012946512946512946</v>
      </c>
      <c r="S141" s="10" t="s">
        <v>14</v>
      </c>
    </row>
    <row r="142" spans="4:19" ht="12.75">
      <c r="D142" s="8"/>
      <c r="E142" t="s">
        <v>16</v>
      </c>
      <c r="F142" s="8"/>
      <c r="G142" s="9"/>
      <c r="I142" s="8"/>
      <c r="K142" s="8"/>
      <c r="M142" s="8"/>
      <c r="O142" s="8"/>
      <c r="Q142" s="8"/>
      <c r="S142" s="10"/>
    </row>
    <row r="143" spans="1:19" ht="12.75">
      <c r="A143" s="53" t="s">
        <v>59</v>
      </c>
      <c r="D143" s="8">
        <v>1214</v>
      </c>
      <c r="E143" s="9">
        <f>D143/D123</f>
        <v>0.12873806998939555</v>
      </c>
      <c r="F143" s="8">
        <v>1276</v>
      </c>
      <c r="G143" s="9">
        <f>F143/F123</f>
        <v>0.12981992064299522</v>
      </c>
      <c r="I143" s="8">
        <v>1490</v>
      </c>
      <c r="J143" s="9">
        <f>I143/I123</f>
        <v>0.14633667255941857</v>
      </c>
      <c r="K143" s="8">
        <v>1459</v>
      </c>
      <c r="L143" s="9">
        <f>K143/K123</f>
        <v>0.14305324051377585</v>
      </c>
      <c r="M143" s="8">
        <v>1566</v>
      </c>
      <c r="N143" s="9">
        <f>M143/M123</f>
        <v>0.1479731645091184</v>
      </c>
      <c r="O143" s="8">
        <v>1512</v>
      </c>
      <c r="P143" s="9">
        <f>O143/O123</f>
        <v>0.14881889763779527</v>
      </c>
      <c r="Q143" s="8">
        <v>1506</v>
      </c>
      <c r="R143" s="9">
        <f>Q143/Q123</f>
        <v>0.14231714231714232</v>
      </c>
      <c r="S143" s="10" t="s">
        <v>14</v>
      </c>
    </row>
    <row r="144" spans="4:19" ht="12.75">
      <c r="D144" s="8"/>
      <c r="F144" s="8"/>
      <c r="G144" s="9"/>
      <c r="I144" s="8"/>
      <c r="K144" s="8"/>
      <c r="M144" s="8"/>
      <c r="O144" s="8"/>
      <c r="Q144" s="8"/>
      <c r="S144" s="10"/>
    </row>
    <row r="145" spans="1:19" ht="12.75">
      <c r="A145" t="s">
        <v>28</v>
      </c>
      <c r="D145" s="8">
        <v>75</v>
      </c>
      <c r="E145" s="9">
        <f>D145/D123</f>
        <v>0.007953340402969246</v>
      </c>
      <c r="F145" s="8">
        <v>83</v>
      </c>
      <c r="G145" s="9">
        <f>F145/F123</f>
        <v>0.008444399226777902</v>
      </c>
      <c r="I145" s="8">
        <v>56</v>
      </c>
      <c r="J145" s="9">
        <f>I145/I123</f>
        <v>0.005499901787468081</v>
      </c>
      <c r="K145" s="8">
        <v>68</v>
      </c>
      <c r="L145" s="9">
        <f>K145/K123</f>
        <v>0.00666732032552211</v>
      </c>
      <c r="M145" s="8">
        <v>64</v>
      </c>
      <c r="N145" s="9">
        <f>M145/M123</f>
        <v>0.006047434564868185</v>
      </c>
      <c r="O145" s="8">
        <v>57</v>
      </c>
      <c r="P145" s="9">
        <f>O145/O123</f>
        <v>0.005610236220472441</v>
      </c>
      <c r="Q145" s="8">
        <v>52</v>
      </c>
      <c r="R145" s="9">
        <f>Q145/Q123</f>
        <v>0.004914004914004914</v>
      </c>
      <c r="S145" s="10" t="s">
        <v>14</v>
      </c>
    </row>
    <row r="146" spans="4:19" ht="12.75">
      <c r="D146" s="8"/>
      <c r="F146" s="8"/>
      <c r="G146" s="16"/>
      <c r="I146" s="8"/>
      <c r="K146" s="8"/>
      <c r="M146" s="8"/>
      <c r="O146" s="8"/>
      <c r="Q146" s="8"/>
      <c r="S146" s="10"/>
    </row>
    <row r="147" spans="1:19" ht="12.75">
      <c r="A147" s="11" t="s">
        <v>29</v>
      </c>
      <c r="B147" s="11"/>
      <c r="C147" s="11"/>
      <c r="D147" s="12">
        <v>1055</v>
      </c>
      <c r="E147" s="13">
        <f>D147/D123</f>
        <v>0.11187698833510074</v>
      </c>
      <c r="F147" s="12">
        <v>1233</v>
      </c>
      <c r="G147" s="13">
        <f>F147/F123</f>
        <v>0.12544511140502596</v>
      </c>
      <c r="H147" s="11"/>
      <c r="I147" s="12">
        <v>1429</v>
      </c>
      <c r="J147" s="13">
        <f>I147/I123</f>
        <v>0.14034570811235514</v>
      </c>
      <c r="K147" s="12">
        <v>1484</v>
      </c>
      <c r="L147" s="13">
        <f>K147/K123</f>
        <v>0.1455044612216884</v>
      </c>
      <c r="M147" s="12">
        <v>1581</v>
      </c>
      <c r="N147" s="13">
        <f>M147/M123</f>
        <v>0.14939053198525937</v>
      </c>
      <c r="O147" s="12">
        <v>1603</v>
      </c>
      <c r="P147" s="13">
        <f>O147/O123</f>
        <v>0.1577755905511811</v>
      </c>
      <c r="Q147" s="12">
        <v>2358</v>
      </c>
      <c r="R147" s="13">
        <f>Q147/Q123</f>
        <v>0.22283122283122284</v>
      </c>
      <c r="S147" s="15" t="s">
        <v>11</v>
      </c>
    </row>
    <row r="148" spans="4:19" ht="12.75">
      <c r="D148" s="8"/>
      <c r="F148" s="8"/>
      <c r="G148" s="9"/>
      <c r="I148" s="8"/>
      <c r="K148" s="8"/>
      <c r="M148" s="8"/>
      <c r="O148" s="8"/>
      <c r="Q148" s="8"/>
      <c r="S148" s="10"/>
    </row>
    <row r="149" spans="1:19" ht="12.75">
      <c r="A149" t="s">
        <v>30</v>
      </c>
      <c r="D149">
        <v>9</v>
      </c>
      <c r="E149" s="9">
        <f>D149/90</f>
        <v>0.1</v>
      </c>
      <c r="F149" s="8">
        <v>20</v>
      </c>
      <c r="G149" s="9">
        <f>F149/110</f>
        <v>0.18181818181818182</v>
      </c>
      <c r="I149">
        <v>31</v>
      </c>
      <c r="J149" s="9">
        <f>31/107</f>
        <v>0.2897196261682243</v>
      </c>
      <c r="K149">
        <v>30</v>
      </c>
      <c r="L149" s="9">
        <f>30/100</f>
        <v>0.3</v>
      </c>
      <c r="M149">
        <v>25</v>
      </c>
      <c r="N149" s="9">
        <f>25/88</f>
        <v>0.2840909090909091</v>
      </c>
      <c r="O149">
        <v>21</v>
      </c>
      <c r="P149" s="9">
        <f>21/67</f>
        <v>0.31343283582089554</v>
      </c>
      <c r="Q149">
        <v>23</v>
      </c>
      <c r="R149" s="9">
        <f>23/55</f>
        <v>0.41818181818181815</v>
      </c>
      <c r="S149" s="10" t="s">
        <v>14</v>
      </c>
    </row>
    <row r="150" spans="6:11" ht="12.75">
      <c r="F150" s="8"/>
      <c r="G150" s="16"/>
      <c r="K150" s="10"/>
    </row>
    <row r="151" spans="6:11" ht="12.75">
      <c r="F151" s="8"/>
      <c r="G151" s="16"/>
      <c r="K151" s="10"/>
    </row>
    <row r="152" spans="6:7" ht="12.75">
      <c r="F152" s="8"/>
      <c r="G152" s="16"/>
    </row>
    <row r="153" spans="6:7" ht="12.75">
      <c r="F153" s="8"/>
      <c r="G153" s="16"/>
    </row>
    <row r="154" spans="6:7" ht="12.75">
      <c r="F154" s="8"/>
      <c r="G154" s="16"/>
    </row>
    <row r="155" spans="1:7" ht="12.75">
      <c r="A155" s="3" t="s">
        <v>75</v>
      </c>
      <c r="F155" s="8"/>
      <c r="G155" s="16"/>
    </row>
    <row r="156" spans="4:17" ht="12.75">
      <c r="D156" s="4" t="s">
        <v>68</v>
      </c>
      <c r="E156" s="4"/>
      <c r="F156" s="4"/>
      <c r="G156" s="4"/>
      <c r="I156" s="61" t="s">
        <v>69</v>
      </c>
      <c r="J156" s="61"/>
      <c r="K156" s="61"/>
      <c r="L156" s="61"/>
      <c r="M156" s="61"/>
      <c r="N156" s="61"/>
      <c r="O156" s="61"/>
      <c r="P156" s="61"/>
      <c r="Q156" s="61"/>
    </row>
    <row r="157" spans="6:7" ht="12.75">
      <c r="F157" s="23" t="s">
        <v>1</v>
      </c>
      <c r="G157" s="24"/>
    </row>
    <row r="158" spans="4:18" ht="12.75">
      <c r="D158" s="4" t="s">
        <v>3</v>
      </c>
      <c r="E158" s="4"/>
      <c r="F158" s="23" t="s">
        <v>4</v>
      </c>
      <c r="G158" s="24"/>
      <c r="I158" s="61" t="s">
        <v>50</v>
      </c>
      <c r="J158" s="61"/>
      <c r="K158" s="61" t="s">
        <v>51</v>
      </c>
      <c r="L158" s="61"/>
      <c r="M158" s="61" t="s">
        <v>52</v>
      </c>
      <c r="N158" s="61"/>
      <c r="O158" s="61" t="s">
        <v>83</v>
      </c>
      <c r="P158" s="61"/>
      <c r="Q158" s="64" t="s">
        <v>84</v>
      </c>
      <c r="R158" s="61"/>
    </row>
    <row r="159" spans="4:18" ht="12.75">
      <c r="D159" s="17" t="s">
        <v>31</v>
      </c>
      <c r="E159" s="17" t="s">
        <v>32</v>
      </c>
      <c r="F159" s="27" t="s">
        <v>31</v>
      </c>
      <c r="G159" s="28" t="s">
        <v>32</v>
      </c>
      <c r="I159" s="17" t="s">
        <v>31</v>
      </c>
      <c r="J159" s="17" t="s">
        <v>32</v>
      </c>
      <c r="K159" s="17" t="s">
        <v>31</v>
      </c>
      <c r="L159" s="17" t="s">
        <v>32</v>
      </c>
      <c r="M159" s="17" t="s">
        <v>31</v>
      </c>
      <c r="N159" s="17" t="s">
        <v>32</v>
      </c>
      <c r="O159" s="17" t="s">
        <v>31</v>
      </c>
      <c r="P159" s="17" t="s">
        <v>32</v>
      </c>
      <c r="Q159" s="17" t="s">
        <v>31</v>
      </c>
      <c r="R159" s="17" t="s">
        <v>32</v>
      </c>
    </row>
    <row r="160" spans="4:7" ht="12.75">
      <c r="D160" s="8"/>
      <c r="E160" s="16"/>
      <c r="F160" s="8"/>
      <c r="G160" s="16"/>
    </row>
    <row r="161" spans="4:12" ht="12.75">
      <c r="D161" s="8"/>
      <c r="E161" s="16"/>
      <c r="F161" s="8"/>
      <c r="G161" s="16"/>
      <c r="I161" s="8"/>
      <c r="J161" s="16"/>
      <c r="K161" s="8"/>
      <c r="L161" s="16"/>
    </row>
    <row r="162" spans="1:18" ht="12.75">
      <c r="A162" s="11" t="s">
        <v>34</v>
      </c>
      <c r="B162" s="11"/>
      <c r="C162" s="11"/>
      <c r="D162" s="12">
        <v>237</v>
      </c>
      <c r="E162" s="20">
        <f>D162*1000/207153</f>
        <v>1.14408191047197</v>
      </c>
      <c r="F162" s="12">
        <v>241</v>
      </c>
      <c r="G162" s="20">
        <f>F162*1000/211899</f>
        <v>1.13733429605614</v>
      </c>
      <c r="I162" s="8">
        <v>218</v>
      </c>
      <c r="J162" s="16">
        <f>I162*1000/(193742)</f>
        <v>1.1252077505135696</v>
      </c>
      <c r="K162" s="8">
        <v>201</v>
      </c>
      <c r="L162" s="16">
        <f>K162*1000/(210670)</f>
        <v>0.954098827550197</v>
      </c>
      <c r="M162">
        <v>228</v>
      </c>
      <c r="N162" s="16">
        <f>M162*1000/(216029)</f>
        <v>1.0554138564729736</v>
      </c>
      <c r="O162">
        <v>186</v>
      </c>
      <c r="P162" s="16">
        <f>O162*1000/(234721)</f>
        <v>0.7924301617665228</v>
      </c>
      <c r="Q162">
        <v>179</v>
      </c>
      <c r="R162" s="16">
        <f>Q162*1000/(229177)</f>
        <v>0.7810556905797702</v>
      </c>
    </row>
    <row r="163" spans="1:12" ht="12.75">
      <c r="A163" s="11" t="s">
        <v>35</v>
      </c>
      <c r="B163" s="11"/>
      <c r="D163" s="8"/>
      <c r="E163" s="16"/>
      <c r="F163" s="8"/>
      <c r="G163" s="16"/>
      <c r="I163" s="8"/>
      <c r="J163" s="16"/>
      <c r="K163" s="8"/>
      <c r="L163" s="16"/>
    </row>
    <row r="164" spans="4:12" ht="12.75">
      <c r="D164" s="8"/>
      <c r="E164" s="16"/>
      <c r="F164" s="8"/>
      <c r="G164" s="16"/>
      <c r="I164" s="8"/>
      <c r="J164" s="16"/>
      <c r="K164" s="8"/>
      <c r="L164" s="16"/>
    </row>
    <row r="165" spans="1:18" ht="12.75">
      <c r="A165" s="11" t="s">
        <v>36</v>
      </c>
      <c r="D165" s="8">
        <v>189</v>
      </c>
      <c r="E165" s="20">
        <f>D165*1000/165599</f>
        <v>1.1413112398021728</v>
      </c>
      <c r="F165" s="8">
        <v>173</v>
      </c>
      <c r="G165" s="20">
        <f>F165*1000/173116</f>
        <v>0.9993299290649045</v>
      </c>
      <c r="I165" s="8">
        <v>149</v>
      </c>
      <c r="J165" s="16">
        <f>I165*1000/(155056)</f>
        <v>0.9609431431224847</v>
      </c>
      <c r="K165" s="8">
        <v>134</v>
      </c>
      <c r="L165" s="16">
        <f>K165*1000/(168221)</f>
        <v>0.7965711772014196</v>
      </c>
      <c r="M165">
        <v>152</v>
      </c>
      <c r="N165" s="16">
        <f>M165*1000/(172257)</f>
        <v>0.8824024567942087</v>
      </c>
      <c r="O165">
        <v>118</v>
      </c>
      <c r="P165" s="16">
        <f>O165*1000/(187501)</f>
        <v>0.6293299769067898</v>
      </c>
      <c r="Q165">
        <v>124</v>
      </c>
      <c r="R165" s="16">
        <f>Q165*1000/(183398)</f>
        <v>0.676125148583954</v>
      </c>
    </row>
    <row r="166" spans="1:18" ht="12.75">
      <c r="A166" t="s">
        <v>35</v>
      </c>
      <c r="D166" s="8"/>
      <c r="E166" s="16"/>
      <c r="F166" s="8"/>
      <c r="G166" s="16"/>
      <c r="I166" s="8"/>
      <c r="J166" s="16"/>
      <c r="K166" s="8"/>
      <c r="L166" s="16"/>
      <c r="N166" s="16"/>
      <c r="P166" s="16"/>
      <c r="R166" s="16"/>
    </row>
    <row r="167" spans="4:18" ht="12.75">
      <c r="D167" s="8"/>
      <c r="E167" s="16"/>
      <c r="F167" s="8"/>
      <c r="G167" s="16"/>
      <c r="I167" s="8"/>
      <c r="J167" s="16"/>
      <c r="K167" s="8"/>
      <c r="L167" s="16"/>
      <c r="N167" s="16"/>
      <c r="P167" s="16"/>
      <c r="R167" s="16"/>
    </row>
    <row r="168" spans="1:18" ht="12.75">
      <c r="A168" t="s">
        <v>65</v>
      </c>
      <c r="D168" s="18" t="s">
        <v>33</v>
      </c>
      <c r="E168" s="18" t="s">
        <v>33</v>
      </c>
      <c r="F168" s="18" t="s">
        <v>33</v>
      </c>
      <c r="G168" s="18" t="s">
        <v>33</v>
      </c>
      <c r="H168" s="18" t="s">
        <v>16</v>
      </c>
      <c r="I168" s="8">
        <v>258</v>
      </c>
      <c r="J168" s="16">
        <f>I168*1000/(41000)</f>
        <v>6.2926829268292686</v>
      </c>
      <c r="K168" s="8">
        <v>251</v>
      </c>
      <c r="L168" s="16">
        <f>K168*1000/(42449)</f>
        <v>5.91297792645292</v>
      </c>
      <c r="M168">
        <v>274</v>
      </c>
      <c r="N168" s="16">
        <f>M168*1000/(43772)</f>
        <v>6.259709403271498</v>
      </c>
      <c r="O168">
        <v>236</v>
      </c>
      <c r="P168" s="16">
        <f>O168*1000/(47220)</f>
        <v>4.997882253282508</v>
      </c>
      <c r="Q168">
        <v>256</v>
      </c>
      <c r="R168" s="16">
        <f>Q168*1000/(45779)</f>
        <v>5.592083706502982</v>
      </c>
    </row>
    <row r="169" spans="4:18" ht="12.75">
      <c r="D169" s="8"/>
      <c r="E169" s="16"/>
      <c r="F169" s="8"/>
      <c r="G169" s="16"/>
      <c r="I169" s="8"/>
      <c r="J169" s="16"/>
      <c r="K169" s="8"/>
      <c r="L169" s="16"/>
      <c r="N169" s="16"/>
      <c r="P169" s="16"/>
      <c r="R169" s="16"/>
    </row>
    <row r="170" spans="1:18" ht="12.75">
      <c r="A170" t="s">
        <v>37</v>
      </c>
      <c r="D170" s="8">
        <v>1142</v>
      </c>
      <c r="E170" s="20">
        <f>D170*1000/165599</f>
        <v>6.896176909280853</v>
      </c>
      <c r="F170" s="8">
        <v>1181</v>
      </c>
      <c r="G170" s="20">
        <f>F170*1000/173116</f>
        <v>6.822015296102036</v>
      </c>
      <c r="I170" s="8">
        <v>769</v>
      </c>
      <c r="J170" s="16">
        <f>I170*1000/(165506)</f>
        <v>4.64635723176199</v>
      </c>
      <c r="K170" s="8">
        <v>872</v>
      </c>
      <c r="L170" s="16">
        <f>K170*1000/(168221)</f>
        <v>5.183657212833118</v>
      </c>
      <c r="M170">
        <v>949</v>
      </c>
      <c r="N170" s="16">
        <f>M170*1000/(172257)</f>
        <v>5.509210075642789</v>
      </c>
      <c r="O170">
        <v>924</v>
      </c>
      <c r="P170" s="16">
        <f>O170*1000/(187501)</f>
        <v>4.927973717473507</v>
      </c>
      <c r="Q170">
        <v>936</v>
      </c>
      <c r="R170" s="16">
        <f>Q170*1000/(183398)</f>
        <v>5.103654347375653</v>
      </c>
    </row>
    <row r="171" spans="4:18" ht="12.75">
      <c r="D171" s="8"/>
      <c r="E171" s="16"/>
      <c r="F171" s="8"/>
      <c r="G171" s="16"/>
      <c r="I171" s="8"/>
      <c r="J171" s="16"/>
      <c r="K171" s="8"/>
      <c r="L171" s="16"/>
      <c r="N171" s="16"/>
      <c r="P171" s="16"/>
      <c r="R171" s="16"/>
    </row>
    <row r="172" spans="1:18" ht="12.75">
      <c r="A172" t="s">
        <v>38</v>
      </c>
      <c r="D172" s="18" t="s">
        <v>33</v>
      </c>
      <c r="E172" s="19" t="s">
        <v>33</v>
      </c>
      <c r="F172" s="18" t="s">
        <v>33</v>
      </c>
      <c r="G172" s="19" t="s">
        <v>33</v>
      </c>
      <c r="I172" s="8">
        <v>836</v>
      </c>
      <c r="J172" s="16">
        <f>I172*1000/(698992)</f>
        <v>1.1960079657564036</v>
      </c>
      <c r="K172" s="8">
        <v>780</v>
      </c>
      <c r="L172" s="16">
        <f>K172*1000/(725688)</f>
        <v>1.0748420808942687</v>
      </c>
      <c r="M172">
        <v>810</v>
      </c>
      <c r="N172" s="16">
        <f>M172*1000/(732781)</f>
        <v>1.10537800516116</v>
      </c>
      <c r="O172">
        <v>911</v>
      </c>
      <c r="P172" s="16">
        <f>O172*1000/(815494)</f>
        <v>1.1171142890076444</v>
      </c>
      <c r="Q172">
        <v>851</v>
      </c>
      <c r="R172" s="16">
        <f>Q172*1000/(822506)</f>
        <v>1.0346429083799997</v>
      </c>
    </row>
    <row r="173" spans="1:18" ht="12.75">
      <c r="A173" t="s">
        <v>35</v>
      </c>
      <c r="D173" s="8"/>
      <c r="E173" s="16"/>
      <c r="F173" s="8"/>
      <c r="G173" s="16"/>
      <c r="I173" s="8"/>
      <c r="J173" s="16"/>
      <c r="K173" s="8"/>
      <c r="L173" s="16"/>
      <c r="N173" s="16"/>
      <c r="P173" s="16"/>
      <c r="R173" s="16"/>
    </row>
    <row r="174" spans="2:18" ht="12.75">
      <c r="B174" s="11"/>
      <c r="C174" s="11"/>
      <c r="D174" s="8"/>
      <c r="E174" s="16"/>
      <c r="F174" s="8"/>
      <c r="G174" s="16"/>
      <c r="I174" s="8"/>
      <c r="J174" s="16"/>
      <c r="K174" s="8"/>
      <c r="L174" s="16"/>
      <c r="N174" s="16"/>
      <c r="P174" s="16"/>
      <c r="R174" s="16"/>
    </row>
    <row r="175" spans="1:18" ht="12.75">
      <c r="A175" t="s">
        <v>39</v>
      </c>
      <c r="D175" s="8">
        <v>57397</v>
      </c>
      <c r="E175" s="16">
        <f>D175*1000/207153</f>
        <v>277.07539837704496</v>
      </c>
      <c r="F175" s="8">
        <v>56568</v>
      </c>
      <c r="G175" s="16">
        <f>F175*1000/211899</f>
        <v>266.9573712004304</v>
      </c>
      <c r="I175" s="8">
        <v>51598</v>
      </c>
      <c r="J175" s="16">
        <f>I175*1000/(193742)</f>
        <v>266.32325463761083</v>
      </c>
      <c r="K175" s="8">
        <v>53634</v>
      </c>
      <c r="L175" s="16">
        <f>K175*1000/(210670)</f>
        <v>254.58774386481227</v>
      </c>
      <c r="M175">
        <v>54759</v>
      </c>
      <c r="N175" s="16">
        <f>M175*1000/(216029)</f>
        <v>253.47985687106825</v>
      </c>
      <c r="O175">
        <v>61172</v>
      </c>
      <c r="P175" s="16">
        <f>O175*1000/(234721)</f>
        <v>260.61579492248245</v>
      </c>
      <c r="Q175">
        <v>59429</v>
      </c>
      <c r="R175" s="16">
        <f>Q175*1000/(229177)</f>
        <v>259.3148527120959</v>
      </c>
    </row>
    <row r="176" spans="4:18" ht="12.75">
      <c r="D176" s="8"/>
      <c r="E176" s="16"/>
      <c r="F176" s="8"/>
      <c r="G176" s="16"/>
      <c r="I176" s="8"/>
      <c r="J176" s="16"/>
      <c r="K176" s="8"/>
      <c r="L176" s="16"/>
      <c r="N176" s="16"/>
      <c r="P176" s="16"/>
      <c r="R176" s="16"/>
    </row>
    <row r="177" spans="1:18" ht="12.75">
      <c r="A177" t="s">
        <v>40</v>
      </c>
      <c r="D177" s="18" t="s">
        <v>33</v>
      </c>
      <c r="E177" s="19" t="s">
        <v>33</v>
      </c>
      <c r="F177" s="18" t="s">
        <v>33</v>
      </c>
      <c r="G177" s="19" t="s">
        <v>33</v>
      </c>
      <c r="I177" s="8">
        <v>241010</v>
      </c>
      <c r="J177" s="16">
        <f>I177*1000/(698992)</f>
        <v>344.79650697003683</v>
      </c>
      <c r="K177" s="8">
        <v>252243</v>
      </c>
      <c r="L177" s="16">
        <f>K177*1000/(725688)</f>
        <v>347.59152693719614</v>
      </c>
      <c r="M177">
        <v>275448</v>
      </c>
      <c r="N177" s="16">
        <f>M177*1000/(732781)</f>
        <v>375.8940256365817</v>
      </c>
      <c r="O177">
        <v>306782</v>
      </c>
      <c r="P177" s="16">
        <f>O177*1000/(815494)</f>
        <v>376.19160901245135</v>
      </c>
      <c r="Q177">
        <v>309189</v>
      </c>
      <c r="R177" s="16">
        <f>Q177*1000/(822506)</f>
        <v>375.9109356041172</v>
      </c>
    </row>
    <row r="178" spans="4:18" ht="12.75">
      <c r="D178" s="8"/>
      <c r="E178" s="16"/>
      <c r="F178" s="8"/>
      <c r="G178" s="16"/>
      <c r="I178" s="8"/>
      <c r="J178" s="16"/>
      <c r="K178" s="8"/>
      <c r="L178" s="16"/>
      <c r="N178" s="16"/>
      <c r="P178" s="16"/>
      <c r="R178" s="16"/>
    </row>
    <row r="179" spans="1:18" ht="12.75">
      <c r="A179" t="s">
        <v>41</v>
      </c>
      <c r="D179" s="18" t="s">
        <v>33</v>
      </c>
      <c r="E179" s="19" t="s">
        <v>33</v>
      </c>
      <c r="F179" s="18" t="s">
        <v>33</v>
      </c>
      <c r="G179" s="19" t="s">
        <v>33</v>
      </c>
      <c r="I179" s="8">
        <v>1769</v>
      </c>
      <c r="J179" s="16">
        <f>I179*1000/(344891)</f>
        <v>5.129156748074029</v>
      </c>
      <c r="K179" s="8">
        <v>1793</v>
      </c>
      <c r="L179" s="16">
        <f>K179*1000/(360163)</f>
        <v>4.978301491269231</v>
      </c>
      <c r="M179">
        <v>2028</v>
      </c>
      <c r="N179" s="16">
        <f>M179*1000/(363989)</f>
        <v>5.571596943863688</v>
      </c>
      <c r="O179">
        <v>2288</v>
      </c>
      <c r="P179" s="16">
        <f>O179*1000/(407640)</f>
        <v>5.612795603964282</v>
      </c>
      <c r="Q179">
        <v>1378</v>
      </c>
      <c r="R179" s="16">
        <f>Q179*1000/(410787)</f>
        <v>3.354536535966328</v>
      </c>
    </row>
    <row r="180" spans="4:18" ht="12.75">
      <c r="D180" s="8"/>
      <c r="E180" s="16"/>
      <c r="F180" s="8"/>
      <c r="G180" s="16"/>
      <c r="I180" s="8"/>
      <c r="J180" s="16"/>
      <c r="K180" s="8"/>
      <c r="L180" s="16"/>
      <c r="N180" s="16"/>
      <c r="P180" s="16"/>
      <c r="R180" s="16"/>
    </row>
    <row r="181" spans="1:18" ht="12.75">
      <c r="A181" t="s">
        <v>42</v>
      </c>
      <c r="D181" s="8">
        <v>837</v>
      </c>
      <c r="E181" s="16">
        <f>D181*1000/207153</f>
        <v>4.040491810401008</v>
      </c>
      <c r="F181" s="8">
        <v>838</v>
      </c>
      <c r="G181" s="16">
        <f>F181*1000/211899</f>
        <v>3.9547142742533</v>
      </c>
      <c r="I181" s="8">
        <v>1089</v>
      </c>
      <c r="J181" s="16">
        <f>I181*1000/(193742)</f>
        <v>5.620877249125125</v>
      </c>
      <c r="K181" s="8">
        <v>1062</v>
      </c>
      <c r="L181" s="16">
        <f>K181*1000/(210670)</f>
        <v>5.041059476907011</v>
      </c>
      <c r="M181">
        <v>1129</v>
      </c>
      <c r="N181" s="16">
        <f>M181*1000/(216029)</f>
        <v>5.2261501927981895</v>
      </c>
      <c r="O181">
        <v>1213</v>
      </c>
      <c r="P181" s="16">
        <f>O181*1000/(234721)</f>
        <v>5.167837560337592</v>
      </c>
      <c r="Q181">
        <v>1078</v>
      </c>
      <c r="R181" s="16">
        <f>Q181*1000/(229177)</f>
        <v>4.703787901927331</v>
      </c>
    </row>
    <row r="182" spans="9:18" ht="12.75">
      <c r="I182" s="8"/>
      <c r="J182" s="16"/>
      <c r="R182" s="16"/>
    </row>
    <row r="183" spans="9:10" ht="12.75">
      <c r="I183" s="8"/>
      <c r="J183" s="16"/>
    </row>
    <row r="184" spans="9:10" ht="12.75">
      <c r="I184" s="8"/>
      <c r="J184" s="16"/>
    </row>
    <row r="186" ht="12.75">
      <c r="A186" t="s">
        <v>43</v>
      </c>
    </row>
    <row r="187" ht="12.75">
      <c r="A187" t="s">
        <v>44</v>
      </c>
    </row>
    <row r="188" ht="12.75">
      <c r="A188" t="s">
        <v>16</v>
      </c>
    </row>
    <row r="189" ht="12.75">
      <c r="A189" s="41"/>
    </row>
    <row r="190" ht="12.75">
      <c r="A190" t="s">
        <v>89</v>
      </c>
    </row>
    <row r="192" ht="12.75">
      <c r="A192" t="s">
        <v>49</v>
      </c>
    </row>
    <row r="193" ht="12.75">
      <c r="A193" s="29">
        <v>40626</v>
      </c>
    </row>
  </sheetData>
  <sheetProtection/>
  <mergeCells count="28">
    <mergeCell ref="Q158:R158"/>
    <mergeCell ref="O6:P6"/>
    <mergeCell ref="O109:P109"/>
    <mergeCell ref="Q6:R6"/>
    <mergeCell ref="Q5:R5"/>
    <mergeCell ref="Q109:R109"/>
    <mergeCell ref="Q108:R108"/>
    <mergeCell ref="Q57:R57"/>
    <mergeCell ref="I156:Q156"/>
    <mergeCell ref="M57:N57"/>
    <mergeCell ref="I4:R4"/>
    <mergeCell ref="I55:Q55"/>
    <mergeCell ref="M5:N5"/>
    <mergeCell ref="I109:J109"/>
    <mergeCell ref="O5:P5"/>
    <mergeCell ref="K109:L109"/>
    <mergeCell ref="K57:L57"/>
    <mergeCell ref="I6:J6"/>
    <mergeCell ref="I158:J158"/>
    <mergeCell ref="I57:J57"/>
    <mergeCell ref="K158:L158"/>
    <mergeCell ref="M158:N158"/>
    <mergeCell ref="K6:L6"/>
    <mergeCell ref="O57:P57"/>
    <mergeCell ref="O158:P158"/>
    <mergeCell ref="M6:N6"/>
    <mergeCell ref="M109:N109"/>
    <mergeCell ref="I107:Q107"/>
  </mergeCells>
  <printOptions/>
  <pageMargins left="0.58" right="0.23" top="1" bottom="1.17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3" width="12.7109375" style="0" customWidth="1"/>
  </cols>
  <sheetData>
    <row r="1" spans="1:11" ht="1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2"/>
      <c r="K1" s="2"/>
    </row>
    <row r="2" spans="1:11" ht="15">
      <c r="A2" s="1" t="s">
        <v>77</v>
      </c>
      <c r="B2" s="2"/>
      <c r="C2" s="2"/>
      <c r="D2" s="21"/>
      <c r="E2" s="2"/>
      <c r="F2" s="21"/>
      <c r="G2" s="2"/>
      <c r="H2" s="2"/>
      <c r="I2" s="21"/>
      <c r="J2" s="2"/>
      <c r="K2" s="2"/>
    </row>
    <row r="3" spans="4:11" ht="12.75">
      <c r="D3" s="8"/>
      <c r="F3" s="8"/>
      <c r="I3" s="8"/>
      <c r="K3" s="10"/>
    </row>
    <row r="4" spans="1:18" ht="12.75">
      <c r="A4" s="3"/>
      <c r="D4" s="23" t="s">
        <v>68</v>
      </c>
      <c r="E4" s="4"/>
      <c r="F4" s="23"/>
      <c r="G4" s="4"/>
      <c r="I4" s="63" t="s">
        <v>69</v>
      </c>
      <c r="J4" s="63"/>
      <c r="K4" s="63"/>
      <c r="L4" s="63"/>
      <c r="M4" s="63"/>
      <c r="N4" s="63"/>
      <c r="O4" s="63"/>
      <c r="P4" s="63"/>
      <c r="Q4" s="63"/>
      <c r="R4" s="63"/>
    </row>
    <row r="5" spans="1:9" ht="12.75">
      <c r="A5" s="3"/>
      <c r="D5" s="8"/>
      <c r="F5" s="8"/>
      <c r="I5" s="8"/>
    </row>
    <row r="6" spans="4:18" ht="12.75">
      <c r="D6" s="8"/>
      <c r="F6" s="23" t="s">
        <v>1</v>
      </c>
      <c r="G6" s="4"/>
      <c r="J6" s="4"/>
      <c r="K6" s="23" t="s">
        <v>16</v>
      </c>
      <c r="L6" s="4"/>
      <c r="N6" s="4"/>
      <c r="O6" s="4" t="s">
        <v>16</v>
      </c>
      <c r="P6" s="4"/>
      <c r="Q6" s="4" t="s">
        <v>71</v>
      </c>
      <c r="R6" s="4"/>
    </row>
    <row r="7" spans="4:19" ht="12.75">
      <c r="D7" s="23" t="s">
        <v>45</v>
      </c>
      <c r="E7" s="4"/>
      <c r="F7" s="23" t="s">
        <v>46</v>
      </c>
      <c r="G7" s="4"/>
      <c r="I7" s="65" t="s">
        <v>51</v>
      </c>
      <c r="J7" s="65"/>
      <c r="K7" s="65" t="s">
        <v>52</v>
      </c>
      <c r="L7" s="65"/>
      <c r="M7" s="65" t="s">
        <v>83</v>
      </c>
      <c r="N7" s="65"/>
      <c r="O7" s="65" t="s">
        <v>84</v>
      </c>
      <c r="P7" s="65"/>
      <c r="Q7" s="65" t="s">
        <v>85</v>
      </c>
      <c r="R7" s="65"/>
      <c r="S7" s="5" t="s">
        <v>5</v>
      </c>
    </row>
    <row r="8" spans="1:19" ht="12.75">
      <c r="A8" s="6" t="s">
        <v>2</v>
      </c>
      <c r="D8" s="25" t="s">
        <v>6</v>
      </c>
      <c r="E8" s="7" t="s">
        <v>7</v>
      </c>
      <c r="F8" s="25" t="s">
        <v>8</v>
      </c>
      <c r="G8" s="7" t="s">
        <v>7</v>
      </c>
      <c r="I8" s="25" t="s">
        <v>8</v>
      </c>
      <c r="J8" s="7" t="s">
        <v>7</v>
      </c>
      <c r="K8" s="25" t="s">
        <v>8</v>
      </c>
      <c r="L8" s="7" t="s">
        <v>7</v>
      </c>
      <c r="M8" s="25" t="s">
        <v>8</v>
      </c>
      <c r="N8" s="7" t="s">
        <v>7</v>
      </c>
      <c r="O8" s="25" t="s">
        <v>8</v>
      </c>
      <c r="P8" s="7" t="s">
        <v>7</v>
      </c>
      <c r="Q8" s="25" t="s">
        <v>8</v>
      </c>
      <c r="R8" s="7" t="s">
        <v>7</v>
      </c>
      <c r="S8" s="5" t="s">
        <v>88</v>
      </c>
    </row>
    <row r="9" spans="1:19" ht="12.75">
      <c r="A9" s="11"/>
      <c r="B9" s="11" t="s">
        <v>10</v>
      </c>
      <c r="C9" s="11"/>
      <c r="D9" s="12">
        <v>1717</v>
      </c>
      <c r="E9" s="13">
        <f>D9/D13</f>
        <v>0.6879006410256411</v>
      </c>
      <c r="F9" s="12">
        <v>1794</v>
      </c>
      <c r="G9" s="13">
        <f>F9/F13</f>
        <v>0.727199027158492</v>
      </c>
      <c r="H9" s="11"/>
      <c r="I9" s="12">
        <v>2515</v>
      </c>
      <c r="J9" s="13">
        <f>I9/I13</f>
        <v>0.7695838433292533</v>
      </c>
      <c r="K9" s="12">
        <v>2567</v>
      </c>
      <c r="L9" s="13">
        <f>K9/K13</f>
        <v>0.7778787878787878</v>
      </c>
      <c r="M9" s="12">
        <v>3768</v>
      </c>
      <c r="N9" s="13">
        <f>M9/M13</f>
        <v>0.7663209273947529</v>
      </c>
      <c r="O9" s="12">
        <v>3758</v>
      </c>
      <c r="P9" s="13">
        <f>O9/O13</f>
        <v>0.7770885028949545</v>
      </c>
      <c r="Q9" s="12">
        <v>2666</v>
      </c>
      <c r="R9" s="13">
        <f>Q9/Q13</f>
        <v>0.6844672657252888</v>
      </c>
      <c r="S9" s="15" t="s">
        <v>11</v>
      </c>
    </row>
    <row r="10" spans="2:19" ht="12.75">
      <c r="B10" t="s">
        <v>12</v>
      </c>
      <c r="D10" s="8">
        <v>628</v>
      </c>
      <c r="E10" s="9">
        <f>D10/D13</f>
        <v>0.2516025641025641</v>
      </c>
      <c r="F10" s="8">
        <v>554</v>
      </c>
      <c r="G10" s="9">
        <f>F10/F13</f>
        <v>0.22456424807458453</v>
      </c>
      <c r="I10" s="8">
        <v>644</v>
      </c>
      <c r="J10" s="9">
        <f>I10/I13</f>
        <v>0.19706242350061198</v>
      </c>
      <c r="K10" s="8">
        <v>636</v>
      </c>
      <c r="L10" s="9">
        <f>K10/K13</f>
        <v>0.19272727272727272</v>
      </c>
      <c r="M10" s="8">
        <v>1000</v>
      </c>
      <c r="N10" s="9">
        <f>M10/M13</f>
        <v>0.2033760423022168</v>
      </c>
      <c r="O10" s="8">
        <v>954</v>
      </c>
      <c r="P10" s="9">
        <f>O10/O13</f>
        <v>0.19727047146401985</v>
      </c>
      <c r="Q10" s="8">
        <v>1035</v>
      </c>
      <c r="R10" s="9">
        <f>Q10/Q13</f>
        <v>0.26572528883183566</v>
      </c>
      <c r="S10" s="15" t="s">
        <v>11</v>
      </c>
    </row>
    <row r="11" spans="2:19" ht="12.75">
      <c r="B11" t="s">
        <v>13</v>
      </c>
      <c r="D11" s="8">
        <v>132</v>
      </c>
      <c r="E11" s="9">
        <f>D11/D13</f>
        <v>0.052884615384615384</v>
      </c>
      <c r="F11" s="8">
        <v>109</v>
      </c>
      <c r="G11" s="9">
        <f>F11/F13</f>
        <v>0.04418321848398865</v>
      </c>
      <c r="I11" s="8">
        <v>88</v>
      </c>
      <c r="J11" s="9">
        <f>I11/I13</f>
        <v>0.02692778457772338</v>
      </c>
      <c r="K11" s="8">
        <v>83</v>
      </c>
      <c r="L11" s="9">
        <f>K11/K13</f>
        <v>0.02515151515151515</v>
      </c>
      <c r="M11" s="8">
        <v>128</v>
      </c>
      <c r="N11" s="9">
        <f>M11/M13</f>
        <v>0.02603213341468375</v>
      </c>
      <c r="O11" s="8">
        <v>105</v>
      </c>
      <c r="P11" s="9">
        <f>O11/O13</f>
        <v>0.021712158808933003</v>
      </c>
      <c r="Q11" s="8">
        <v>169</v>
      </c>
      <c r="R11" s="9">
        <f>Q11/Q13</f>
        <v>0.04338896020539153</v>
      </c>
      <c r="S11" s="10" t="s">
        <v>11</v>
      </c>
    </row>
    <row r="12" spans="2:19" ht="12.75">
      <c r="B12" t="s">
        <v>15</v>
      </c>
      <c r="D12" s="8">
        <v>19</v>
      </c>
      <c r="E12" s="9">
        <f>D12/D13</f>
        <v>0.007612179487179487</v>
      </c>
      <c r="F12" s="8">
        <v>10</v>
      </c>
      <c r="G12" s="9">
        <f>F12/F13</f>
        <v>0.004053506282934738</v>
      </c>
      <c r="H12" t="s">
        <v>16</v>
      </c>
      <c r="I12" s="8">
        <v>21</v>
      </c>
      <c r="J12" s="9">
        <f>I12/I13</f>
        <v>0.006425948592411261</v>
      </c>
      <c r="K12" s="8">
        <v>14</v>
      </c>
      <c r="L12" s="9">
        <f>K12/K13</f>
        <v>0.004242424242424243</v>
      </c>
      <c r="M12" s="8">
        <v>21</v>
      </c>
      <c r="N12" s="9">
        <f>M12/M13</f>
        <v>0.004270896888346553</v>
      </c>
      <c r="O12" s="8">
        <v>19</v>
      </c>
      <c r="P12" s="9">
        <f>O12/O13</f>
        <v>0.003928866832092638</v>
      </c>
      <c r="Q12" s="8">
        <v>25</v>
      </c>
      <c r="R12" s="9">
        <f>Q12/Q13</f>
        <v>0.006418485237483954</v>
      </c>
      <c r="S12" s="10" t="s">
        <v>14</v>
      </c>
    </row>
    <row r="13" spans="2:19" ht="12.75">
      <c r="B13" t="s">
        <v>17</v>
      </c>
      <c r="D13" s="8">
        <f>SUM(D9:D12)</f>
        <v>2496</v>
      </c>
      <c r="E13" s="9"/>
      <c r="F13" s="8">
        <f>SUM(F9:F12)</f>
        <v>2467</v>
      </c>
      <c r="G13" s="9"/>
      <c r="I13" s="8">
        <f>SUM(I9:I12)</f>
        <v>3268</v>
      </c>
      <c r="K13" s="8">
        <f>SUM(K9:K12)</f>
        <v>3300</v>
      </c>
      <c r="M13" s="8">
        <f>SUM(M9:M12)</f>
        <v>4917</v>
      </c>
      <c r="O13" s="8">
        <f>SUM(O9:O12)</f>
        <v>4836</v>
      </c>
      <c r="Q13" s="8">
        <f>SUM(Q9:Q12)</f>
        <v>3895</v>
      </c>
      <c r="S13" s="10"/>
    </row>
    <row r="14" spans="4:19" ht="12.75">
      <c r="D14" s="8"/>
      <c r="E14" t="s">
        <v>16</v>
      </c>
      <c r="F14" s="8"/>
      <c r="I14" s="8"/>
      <c r="K14" s="8"/>
      <c r="M14" s="8"/>
      <c r="O14" s="8"/>
      <c r="Q14" s="8"/>
      <c r="S14" s="10"/>
    </row>
    <row r="15" spans="1:19" ht="12.75">
      <c r="A15" s="11" t="s">
        <v>18</v>
      </c>
      <c r="B15" s="11"/>
      <c r="C15" s="11"/>
      <c r="D15" s="12">
        <v>570</v>
      </c>
      <c r="E15" s="13">
        <v>0.23152</v>
      </c>
      <c r="F15" s="12">
        <v>498</v>
      </c>
      <c r="G15" s="13">
        <v>0.20393</v>
      </c>
      <c r="H15" s="11"/>
      <c r="I15" s="11">
        <v>575</v>
      </c>
      <c r="J15" s="13">
        <v>0.18548</v>
      </c>
      <c r="K15" s="11">
        <v>588</v>
      </c>
      <c r="L15" s="13">
        <v>0.18882</v>
      </c>
      <c r="M15" s="11">
        <v>845</v>
      </c>
      <c r="N15" s="13">
        <v>0.17726</v>
      </c>
      <c r="O15" s="11">
        <v>753</v>
      </c>
      <c r="P15" s="13">
        <v>0.16014</v>
      </c>
      <c r="Q15" s="11">
        <v>754</v>
      </c>
      <c r="R15" s="13">
        <v>0.20439</v>
      </c>
      <c r="S15" s="15" t="s">
        <v>11</v>
      </c>
    </row>
    <row r="16" spans="4:19" ht="12.75">
      <c r="D16" s="8"/>
      <c r="F16" s="8"/>
      <c r="I16" s="8"/>
      <c r="K16" s="8"/>
      <c r="M16" s="8"/>
      <c r="O16" s="8"/>
      <c r="Q16" s="8"/>
      <c r="S16" s="10"/>
    </row>
    <row r="17" spans="1:19" ht="12.75">
      <c r="A17" s="6" t="s">
        <v>19</v>
      </c>
      <c r="D17" s="8"/>
      <c r="F17" s="8"/>
      <c r="S17" s="10"/>
    </row>
    <row r="18" spans="2:19" ht="12.75">
      <c r="B18" t="s">
        <v>53</v>
      </c>
      <c r="D18" s="8">
        <v>36</v>
      </c>
      <c r="E18" s="9">
        <f>D18/D21</f>
        <v>0.014112112896903175</v>
      </c>
      <c r="F18" s="8">
        <v>42</v>
      </c>
      <c r="G18" s="9">
        <f>F18/F21</f>
        <v>0.016464131713053703</v>
      </c>
      <c r="I18" s="8">
        <v>41</v>
      </c>
      <c r="J18" s="9">
        <f>I18/I21</f>
        <v>0.011507156890261015</v>
      </c>
      <c r="K18" s="8">
        <v>48</v>
      </c>
      <c r="L18" s="9">
        <f>K18/K21</f>
        <v>0.013513513513513514</v>
      </c>
      <c r="M18" s="8">
        <v>63</v>
      </c>
      <c r="N18" s="9">
        <f>M18/M21</f>
        <v>0.01224965973167412</v>
      </c>
      <c r="O18" s="8">
        <v>82</v>
      </c>
      <c r="P18" s="9">
        <f>O18/O21</f>
        <v>0.01667344448962993</v>
      </c>
      <c r="Q18" s="8">
        <v>73</v>
      </c>
      <c r="R18" s="9">
        <f>Q18/Q21</f>
        <v>0.01790532254108413</v>
      </c>
      <c r="S18" s="10" t="s">
        <v>14</v>
      </c>
    </row>
    <row r="19" spans="2:19" ht="12.75">
      <c r="B19" t="s">
        <v>54</v>
      </c>
      <c r="D19" s="8">
        <v>219</v>
      </c>
      <c r="E19" s="9">
        <f>D19/D21</f>
        <v>0.08584868678949431</v>
      </c>
      <c r="F19" s="8">
        <v>175</v>
      </c>
      <c r="G19" s="9">
        <f>F19/F21</f>
        <v>0.06860054880439044</v>
      </c>
      <c r="I19" s="8">
        <v>270</v>
      </c>
      <c r="J19" s="9">
        <f>I19/I21</f>
        <v>0.07577883805781645</v>
      </c>
      <c r="K19" s="8">
        <v>244</v>
      </c>
      <c r="L19" s="9">
        <f>K19/K21</f>
        <v>0.0686936936936937</v>
      </c>
      <c r="M19" s="8">
        <v>339</v>
      </c>
      <c r="N19" s="9">
        <f>M19/M21</f>
        <v>0.06591483569900836</v>
      </c>
      <c r="O19" s="8">
        <v>328</v>
      </c>
      <c r="P19" s="9">
        <f>O19/O21</f>
        <v>0.06669377795851972</v>
      </c>
      <c r="Q19" s="8">
        <v>301</v>
      </c>
      <c r="R19" s="9">
        <f>Q19/Q21</f>
        <v>0.07382879568310032</v>
      </c>
      <c r="S19" s="10" t="s">
        <v>14</v>
      </c>
    </row>
    <row r="20" spans="2:19" ht="12.75">
      <c r="B20" t="s">
        <v>20</v>
      </c>
      <c r="D20" s="8">
        <v>2296</v>
      </c>
      <c r="E20" s="9">
        <f>D20/D21</f>
        <v>0.9000392003136025</v>
      </c>
      <c r="F20" s="8">
        <v>2334</v>
      </c>
      <c r="G20" s="9">
        <f>F20/F21</f>
        <v>0.9149353194825559</v>
      </c>
      <c r="I20" s="8">
        <v>3251</v>
      </c>
      <c r="J20" s="9">
        <f>I20/I21</f>
        <v>0.9124333426887454</v>
      </c>
      <c r="K20" s="8">
        <v>3258</v>
      </c>
      <c r="L20" s="9">
        <f>K20/K21</f>
        <v>0.9172297297297297</v>
      </c>
      <c r="M20" s="8">
        <v>4740</v>
      </c>
      <c r="N20" s="9">
        <f>M20/M21</f>
        <v>0.9216410655259576</v>
      </c>
      <c r="O20" s="8">
        <v>4506</v>
      </c>
      <c r="P20" s="9">
        <f>O20/O21</f>
        <v>0.9162261081740545</v>
      </c>
      <c r="Q20" s="8">
        <v>3700</v>
      </c>
      <c r="R20" s="9">
        <f>Q20/Q21</f>
        <v>0.9075300466028943</v>
      </c>
      <c r="S20" s="10" t="s">
        <v>14</v>
      </c>
    </row>
    <row r="21" spans="2:19" ht="12.75">
      <c r="B21" t="s">
        <v>17</v>
      </c>
      <c r="D21" s="8">
        <f>SUM(D18:D20)</f>
        <v>2551</v>
      </c>
      <c r="E21" s="9"/>
      <c r="F21" s="8">
        <f>SUM(F18:F20)</f>
        <v>2551</v>
      </c>
      <c r="G21" s="9"/>
      <c r="I21" s="8">
        <v>3563</v>
      </c>
      <c r="K21" s="8">
        <v>3552</v>
      </c>
      <c r="M21" s="8">
        <v>5143</v>
      </c>
      <c r="O21" s="8">
        <v>4918</v>
      </c>
      <c r="Q21" s="8">
        <v>4077</v>
      </c>
      <c r="S21" s="10"/>
    </row>
    <row r="22" spans="4:19" ht="12.75">
      <c r="D22" s="8"/>
      <c r="E22" s="9"/>
      <c r="F22" s="8"/>
      <c r="G22" s="9"/>
      <c r="I22" s="8"/>
      <c r="K22" s="8"/>
      <c r="M22" s="8"/>
      <c r="O22" s="8"/>
      <c r="Q22" s="8"/>
      <c r="S22" s="10"/>
    </row>
    <row r="23" spans="1:19" ht="12.75">
      <c r="A23" s="6" t="s">
        <v>48</v>
      </c>
      <c r="D23" s="8">
        <f>SUM(D18:D19)</f>
        <v>255</v>
      </c>
      <c r="E23" s="9">
        <f>D23/D21</f>
        <v>0.0999607996863975</v>
      </c>
      <c r="F23" s="8">
        <f>SUM(F18:F19)</f>
        <v>217</v>
      </c>
      <c r="G23" s="9">
        <f>F23/F21</f>
        <v>0.08506468051744413</v>
      </c>
      <c r="I23" s="8">
        <f>SUM(I18:I19)</f>
        <v>311</v>
      </c>
      <c r="J23" s="9">
        <f>I23/I21</f>
        <v>0.08728599494807747</v>
      </c>
      <c r="K23" s="8">
        <f>SUM(K18:K19)</f>
        <v>292</v>
      </c>
      <c r="L23" s="9">
        <f>K23/K21</f>
        <v>0.08220720720720721</v>
      </c>
      <c r="M23" s="8">
        <f>SUM(M18:M19)</f>
        <v>402</v>
      </c>
      <c r="N23" s="9">
        <f>M23/M21</f>
        <v>0.07816449543068248</v>
      </c>
      <c r="O23" s="8">
        <f>SUM(O18:O19)</f>
        <v>410</v>
      </c>
      <c r="P23" s="9">
        <f>O23/O21</f>
        <v>0.08336722244814966</v>
      </c>
      <c r="Q23" s="8">
        <f>SUM(Q18:Q19)</f>
        <v>374</v>
      </c>
      <c r="R23" s="9">
        <f>Q23/Q21</f>
        <v>0.09173411822418445</v>
      </c>
      <c r="S23" s="10" t="s">
        <v>14</v>
      </c>
    </row>
    <row r="24" spans="4:19" ht="12.75">
      <c r="D24" s="8"/>
      <c r="F24" s="8"/>
      <c r="I24" s="8"/>
      <c r="K24" s="8"/>
      <c r="M24" s="8"/>
      <c r="O24" s="8"/>
      <c r="Q24" s="8"/>
      <c r="S24" s="10"/>
    </row>
    <row r="25" spans="1:19" ht="12.75">
      <c r="A25" t="s">
        <v>57</v>
      </c>
      <c r="D25" s="8"/>
      <c r="F25" s="8"/>
      <c r="I25" s="8"/>
      <c r="K25" s="8"/>
      <c r="M25" s="8"/>
      <c r="O25" s="8"/>
      <c r="Q25" s="8"/>
      <c r="S25" s="10"/>
    </row>
    <row r="26" spans="2:19" ht="12.75">
      <c r="B26" t="s">
        <v>55</v>
      </c>
      <c r="D26" s="8">
        <v>68</v>
      </c>
      <c r="E26" s="9">
        <f>D26/D21</f>
        <v>0.026656213249705997</v>
      </c>
      <c r="F26" s="8">
        <v>77</v>
      </c>
      <c r="G26" s="9">
        <f>F26/F21</f>
        <v>0.03018424147393179</v>
      </c>
      <c r="I26" s="8">
        <v>99</v>
      </c>
      <c r="J26" s="9">
        <f>I26/I21</f>
        <v>0.027785573954532697</v>
      </c>
      <c r="K26" s="8">
        <v>95</v>
      </c>
      <c r="L26" s="9">
        <f>K26/K21</f>
        <v>0.026745495495495496</v>
      </c>
      <c r="M26" s="8">
        <v>122</v>
      </c>
      <c r="N26" s="9">
        <f>M26/M21</f>
        <v>0.023721563289908612</v>
      </c>
      <c r="O26" s="8">
        <v>138</v>
      </c>
      <c r="P26" s="9">
        <f>O26/O21</f>
        <v>0.028060187067913786</v>
      </c>
      <c r="Q26" s="8">
        <v>121</v>
      </c>
      <c r="R26" s="9">
        <f>Q26/4070</f>
        <v>0.02972972972972973</v>
      </c>
      <c r="S26" s="10" t="s">
        <v>14</v>
      </c>
    </row>
    <row r="27" spans="2:19" ht="12.75">
      <c r="B27" t="s">
        <v>56</v>
      </c>
      <c r="D27" s="8">
        <v>309</v>
      </c>
      <c r="E27" s="9">
        <f>D27/D21</f>
        <v>0.12112896903175226</v>
      </c>
      <c r="F27" s="8">
        <v>275</v>
      </c>
      <c r="G27" s="9">
        <f>F27/F21</f>
        <v>0.10780086240689926</v>
      </c>
      <c r="I27" s="8">
        <v>365</v>
      </c>
      <c r="J27" s="9">
        <f>I27/I21</f>
        <v>0.10244176255964076</v>
      </c>
      <c r="K27" s="8">
        <v>364</v>
      </c>
      <c r="L27" s="9">
        <f>K27/K21</f>
        <v>0.10247747747747747</v>
      </c>
      <c r="M27" s="8">
        <v>515</v>
      </c>
      <c r="N27" s="9">
        <f>M27/M21</f>
        <v>0.10013610733035193</v>
      </c>
      <c r="O27" s="8">
        <v>456</v>
      </c>
      <c r="P27" s="9">
        <f>O27/O21</f>
        <v>0.09272061813745425</v>
      </c>
      <c r="Q27" s="8">
        <v>419</v>
      </c>
      <c r="R27" s="9">
        <f>Q27/4070</f>
        <v>0.10294840294840295</v>
      </c>
      <c r="S27" s="10" t="s">
        <v>14</v>
      </c>
    </row>
    <row r="28" spans="4:19" ht="12.75">
      <c r="D28" s="8"/>
      <c r="F28" s="8"/>
      <c r="I28" s="8"/>
      <c r="K28" s="8"/>
      <c r="M28" s="8"/>
      <c r="O28" s="8"/>
      <c r="Q28" s="8"/>
      <c r="S28" s="10"/>
    </row>
    <row r="29" spans="1:19" ht="12.75">
      <c r="A29" s="6" t="s">
        <v>22</v>
      </c>
      <c r="D29" s="8"/>
      <c r="F29" s="8"/>
      <c r="I29" s="8"/>
      <c r="K29" s="8"/>
      <c r="M29" s="8"/>
      <c r="O29" s="8"/>
      <c r="Q29" s="8"/>
      <c r="S29" s="10"/>
    </row>
    <row r="30" spans="2:19" ht="12.75">
      <c r="B30" t="s">
        <v>23</v>
      </c>
      <c r="D30" s="8">
        <v>529</v>
      </c>
      <c r="E30" s="9">
        <f>D30/D21</f>
        <v>0.20736965895727166</v>
      </c>
      <c r="F30" s="8">
        <v>466</v>
      </c>
      <c r="G30" s="9">
        <f>F30/F21</f>
        <v>0.1826734613876911</v>
      </c>
      <c r="I30" s="8">
        <v>1086</v>
      </c>
      <c r="J30" s="9">
        <f>I30/I21</f>
        <v>0.30479932641032836</v>
      </c>
      <c r="K30" s="8">
        <v>1093</v>
      </c>
      <c r="L30" s="9">
        <f>K30/K21</f>
        <v>0.30771396396396394</v>
      </c>
      <c r="M30" s="8">
        <v>1568</v>
      </c>
      <c r="N30" s="9">
        <f>M30/M21</f>
        <v>0.30488041998833365</v>
      </c>
      <c r="O30" s="8">
        <v>1590</v>
      </c>
      <c r="P30" s="9">
        <f>O30/O21</f>
        <v>0.3233021553477023</v>
      </c>
      <c r="Q30" s="8">
        <v>1321</v>
      </c>
      <c r="R30" s="9">
        <f>Q30/Q21</f>
        <v>0.32401275447633066</v>
      </c>
      <c r="S30" s="10" t="s">
        <v>14</v>
      </c>
    </row>
    <row r="31" spans="2:19" ht="12.75">
      <c r="B31" t="s">
        <v>24</v>
      </c>
      <c r="D31" s="8">
        <v>80</v>
      </c>
      <c r="E31" s="9">
        <f>D31/271</f>
        <v>0.2952029520295203</v>
      </c>
      <c r="F31" s="8">
        <v>79</v>
      </c>
      <c r="G31" s="9">
        <f>79/226</f>
        <v>0.3495575221238938</v>
      </c>
      <c r="I31" s="8">
        <v>42</v>
      </c>
      <c r="J31" s="9">
        <f>I31/535</f>
        <v>0.07850467289719626</v>
      </c>
      <c r="K31" s="8">
        <v>45</v>
      </c>
      <c r="L31" s="9">
        <v>0.07909</v>
      </c>
      <c r="M31" s="8">
        <v>38</v>
      </c>
      <c r="N31" s="9">
        <v>0.045949</v>
      </c>
      <c r="O31" s="8">
        <v>45</v>
      </c>
      <c r="P31" s="9">
        <v>0.056962</v>
      </c>
      <c r="Q31" s="8">
        <v>62</v>
      </c>
      <c r="R31" s="9">
        <v>0.10282</v>
      </c>
      <c r="S31" s="10" t="s">
        <v>11</v>
      </c>
    </row>
    <row r="32" spans="4:19" ht="12.75">
      <c r="D32" s="8"/>
      <c r="F32" s="8"/>
      <c r="I32" s="8"/>
      <c r="K32" s="8"/>
      <c r="M32" s="8"/>
      <c r="O32" s="8"/>
      <c r="Q32" s="8"/>
      <c r="S32" s="10"/>
    </row>
    <row r="33" spans="1:19" ht="12.75">
      <c r="A33" s="53" t="s">
        <v>58</v>
      </c>
      <c r="D33" s="8">
        <v>434</v>
      </c>
      <c r="E33" s="9">
        <v>0.1786</v>
      </c>
      <c r="F33" s="8">
        <v>440</v>
      </c>
      <c r="G33" s="9">
        <v>0.18425</v>
      </c>
      <c r="I33" s="8">
        <v>767</v>
      </c>
      <c r="J33" s="9">
        <v>0.25123</v>
      </c>
      <c r="K33" s="8">
        <v>772</v>
      </c>
      <c r="L33" s="9">
        <v>0.26824</v>
      </c>
      <c r="M33" s="8">
        <v>1320</v>
      </c>
      <c r="N33" s="9">
        <v>0.2884</v>
      </c>
      <c r="O33" s="8">
        <v>1367</v>
      </c>
      <c r="P33" s="9">
        <v>0.29172</v>
      </c>
      <c r="Q33" s="8">
        <v>1157</v>
      </c>
      <c r="R33" s="9">
        <v>0.28695</v>
      </c>
      <c r="S33" s="10" t="s">
        <v>14</v>
      </c>
    </row>
    <row r="34" spans="4:19" ht="12.75">
      <c r="D34" s="8"/>
      <c r="F34" s="8"/>
      <c r="I34" s="8"/>
      <c r="K34" s="8"/>
      <c r="M34" s="8"/>
      <c r="O34" s="8"/>
      <c r="Q34" s="8"/>
      <c r="S34" s="10"/>
    </row>
    <row r="35" spans="1:19" ht="12.75">
      <c r="A35" s="14" t="s">
        <v>25</v>
      </c>
      <c r="D35" s="12">
        <v>1002</v>
      </c>
      <c r="E35" s="13">
        <f>D35/D21</f>
        <v>0.3927871422971384</v>
      </c>
      <c r="F35" s="12">
        <v>937</v>
      </c>
      <c r="G35" s="13">
        <f>F35/F21</f>
        <v>0.36730693845550766</v>
      </c>
      <c r="H35" s="11"/>
      <c r="I35" s="12">
        <v>1332</v>
      </c>
      <c r="J35" s="13">
        <f>I35/I21</f>
        <v>0.3738422677518945</v>
      </c>
      <c r="K35" s="12">
        <v>1300</v>
      </c>
      <c r="L35" s="13">
        <f>K35/K21</f>
        <v>0.36599099099099097</v>
      </c>
      <c r="M35" s="12">
        <v>1874</v>
      </c>
      <c r="N35" s="13">
        <f>M35/M21</f>
        <v>0.3643787672564651</v>
      </c>
      <c r="O35" s="12">
        <v>1775</v>
      </c>
      <c r="P35" s="13">
        <f>O35/O21</f>
        <v>0.36091907279381863</v>
      </c>
      <c r="Q35" s="12">
        <v>1558</v>
      </c>
      <c r="R35" s="13">
        <f>Q35/Q21</f>
        <v>0.38214373313711064</v>
      </c>
      <c r="S35" s="15" t="s">
        <v>14</v>
      </c>
    </row>
    <row r="36" spans="1:19" ht="12.75">
      <c r="A36" s="6"/>
      <c r="B36" s="11"/>
      <c r="C36" s="11"/>
      <c r="D36" s="8"/>
      <c r="E36" s="9" t="s">
        <v>16</v>
      </c>
      <c r="F36" s="8"/>
      <c r="G36" s="9" t="s">
        <v>16</v>
      </c>
      <c r="I36" s="8"/>
      <c r="K36" s="8"/>
      <c r="M36" s="8"/>
      <c r="O36" s="8" t="s">
        <v>16</v>
      </c>
      <c r="Q36" s="8" t="s">
        <v>16</v>
      </c>
      <c r="S36" s="10"/>
    </row>
    <row r="37" spans="1:19" ht="12.75">
      <c r="A37" s="14" t="s">
        <v>26</v>
      </c>
      <c r="D37" s="12">
        <v>231</v>
      </c>
      <c r="E37" s="13">
        <v>0.16727</v>
      </c>
      <c r="F37" s="12">
        <v>176</v>
      </c>
      <c r="G37" s="13">
        <v>0.1358</v>
      </c>
      <c r="H37" s="11"/>
      <c r="I37" s="12">
        <v>315</v>
      </c>
      <c r="J37" s="13">
        <v>0.15758</v>
      </c>
      <c r="K37" s="12">
        <v>335</v>
      </c>
      <c r="L37" s="13">
        <v>0.16683</v>
      </c>
      <c r="M37" s="12">
        <v>476</v>
      </c>
      <c r="N37" s="13">
        <v>0.15968</v>
      </c>
      <c r="O37" s="12">
        <v>443</v>
      </c>
      <c r="P37" s="13">
        <v>0.15393</v>
      </c>
      <c r="Q37" s="12">
        <v>326</v>
      </c>
      <c r="R37" s="13">
        <v>0.13896</v>
      </c>
      <c r="S37" s="15" t="s">
        <v>14</v>
      </c>
    </row>
    <row r="38" spans="1:19" ht="12.75">
      <c r="A38" s="6"/>
      <c r="D38" s="8"/>
      <c r="E38" s="9"/>
      <c r="F38" s="8"/>
      <c r="G38" s="9"/>
      <c r="I38" s="8"/>
      <c r="K38" s="8"/>
      <c r="M38" s="8"/>
      <c r="O38" s="8"/>
      <c r="Q38" s="8"/>
      <c r="S38" s="10"/>
    </row>
    <row r="39" spans="1:19" ht="12.75">
      <c r="A39" s="6" t="s">
        <v>27</v>
      </c>
      <c r="D39" s="8">
        <v>237</v>
      </c>
      <c r="E39" s="9">
        <f>D39/D21</f>
        <v>0.0929047432379459</v>
      </c>
      <c r="F39" s="8">
        <v>234</v>
      </c>
      <c r="G39" s="9">
        <f>F39/F21</f>
        <v>0.09172873382987064</v>
      </c>
      <c r="I39" s="8">
        <v>210</v>
      </c>
      <c r="J39" s="9">
        <f>I39/I21</f>
        <v>0.05893909626719057</v>
      </c>
      <c r="K39" s="8">
        <v>174</v>
      </c>
      <c r="L39" s="9">
        <f>K39/K21</f>
        <v>0.048986486486486486</v>
      </c>
      <c r="M39" s="8">
        <v>237</v>
      </c>
      <c r="N39" s="9">
        <f>M39/M21</f>
        <v>0.04608205327629788</v>
      </c>
      <c r="O39" s="8">
        <v>195</v>
      </c>
      <c r="P39" s="9">
        <f>O39/O21</f>
        <v>0.03965026433509557</v>
      </c>
      <c r="Q39" s="8">
        <v>179</v>
      </c>
      <c r="R39" s="9">
        <f>Q39/Q21</f>
        <v>0.04390483198430218</v>
      </c>
      <c r="S39" s="10" t="s">
        <v>14</v>
      </c>
    </row>
    <row r="40" spans="2:19" ht="12.75">
      <c r="B40" s="11"/>
      <c r="C40" s="11"/>
      <c r="D40" s="8"/>
      <c r="E40" t="s">
        <v>16</v>
      </c>
      <c r="F40" s="8"/>
      <c r="I40" s="8" t="s">
        <v>16</v>
      </c>
      <c r="K40" s="8" t="s">
        <v>16</v>
      </c>
      <c r="M40" s="8" t="s">
        <v>16</v>
      </c>
      <c r="O40" s="8" t="s">
        <v>16</v>
      </c>
      <c r="Q40" s="8" t="s">
        <v>16</v>
      </c>
      <c r="S40" s="10"/>
    </row>
    <row r="41" spans="1:19" ht="12.75">
      <c r="A41" s="53" t="s">
        <v>59</v>
      </c>
      <c r="D41">
        <v>95</v>
      </c>
      <c r="E41" s="9">
        <f>D41/D21</f>
        <v>0.03724029792238338</v>
      </c>
      <c r="F41">
        <v>104</v>
      </c>
      <c r="G41" s="9">
        <f>F41/F21</f>
        <v>0.04076832614660917</v>
      </c>
      <c r="I41">
        <v>138</v>
      </c>
      <c r="J41" s="9">
        <f>I41/I21</f>
        <v>0.03873140611843952</v>
      </c>
      <c r="K41">
        <v>132</v>
      </c>
      <c r="L41" s="9">
        <f>K41/K21</f>
        <v>0.037162162162162164</v>
      </c>
      <c r="M41">
        <v>227</v>
      </c>
      <c r="N41" s="9">
        <f>M41/M21</f>
        <v>0.044137662842698815</v>
      </c>
      <c r="O41">
        <v>236</v>
      </c>
      <c r="P41" s="9">
        <f>O41/O21</f>
        <v>0.04798698657991053</v>
      </c>
      <c r="Q41">
        <v>189</v>
      </c>
      <c r="R41" s="9">
        <f>Q41/Q21</f>
        <v>0.046357615894039736</v>
      </c>
      <c r="S41" s="10" t="s">
        <v>14</v>
      </c>
    </row>
    <row r="42" spans="4:19" ht="12.75">
      <c r="D42" s="8"/>
      <c r="F42" s="8"/>
      <c r="H42" s="10"/>
      <c r="I42" s="8"/>
      <c r="K42" s="8"/>
      <c r="M42" s="8"/>
      <c r="O42" s="8"/>
      <c r="Q42" s="8"/>
      <c r="S42" s="10"/>
    </row>
    <row r="43" spans="1:19" ht="12.75">
      <c r="A43" s="11" t="s">
        <v>28</v>
      </c>
      <c r="D43" s="12">
        <v>133</v>
      </c>
      <c r="E43" s="13">
        <f>D43/D21</f>
        <v>0.05213641709133673</v>
      </c>
      <c r="F43" s="12">
        <v>131</v>
      </c>
      <c r="G43" s="13">
        <f>F43/F21</f>
        <v>0.051352410819286556</v>
      </c>
      <c r="H43" s="15"/>
      <c r="I43" s="12">
        <v>133</v>
      </c>
      <c r="J43" s="13">
        <f>I43/I21</f>
        <v>0.03732809430255403</v>
      </c>
      <c r="K43" s="12">
        <v>124</v>
      </c>
      <c r="L43" s="13">
        <f>K43/K21</f>
        <v>0.03490990990990991</v>
      </c>
      <c r="M43" s="12">
        <v>167</v>
      </c>
      <c r="N43" s="13">
        <f>M43/M21</f>
        <v>0.03247132024110441</v>
      </c>
      <c r="O43" s="12">
        <v>147</v>
      </c>
      <c r="P43" s="13">
        <f>O43/O21</f>
        <v>0.02989019926799512</v>
      </c>
      <c r="Q43" s="12">
        <v>143</v>
      </c>
      <c r="R43" s="13">
        <f>Q43/Q21</f>
        <v>0.035074809909246996</v>
      </c>
      <c r="S43" s="15" t="s">
        <v>14</v>
      </c>
    </row>
    <row r="44" spans="4:19" ht="12.75">
      <c r="D44" s="8"/>
      <c r="F44" s="8"/>
      <c r="H44" s="10"/>
      <c r="I44" s="8"/>
      <c r="K44" s="8"/>
      <c r="M44" s="8"/>
      <c r="O44" s="8"/>
      <c r="Q44" s="8"/>
      <c r="S44" s="10"/>
    </row>
    <row r="45" spans="1:19" ht="12.75">
      <c r="A45" s="11" t="s">
        <v>29</v>
      </c>
      <c r="D45" s="12">
        <v>1847</v>
      </c>
      <c r="E45" s="13">
        <f>D45/D21</f>
        <v>0.7240297922383379</v>
      </c>
      <c r="F45" s="12">
        <v>1851</v>
      </c>
      <c r="G45" s="13">
        <f>F45/F21</f>
        <v>0.7255978047824383</v>
      </c>
      <c r="H45" s="11"/>
      <c r="I45" s="12">
        <v>2780</v>
      </c>
      <c r="J45" s="13">
        <f>I45/I21</f>
        <v>0.7802413696323323</v>
      </c>
      <c r="K45" s="12">
        <v>2772</v>
      </c>
      <c r="L45" s="13">
        <f>K45/K21</f>
        <v>0.7804054054054054</v>
      </c>
      <c r="M45" s="12">
        <v>4138</v>
      </c>
      <c r="N45" s="13">
        <f>M45/M21</f>
        <v>0.8045887614232938</v>
      </c>
      <c r="O45" s="12">
        <v>3989</v>
      </c>
      <c r="P45" s="13">
        <f>O45/O21</f>
        <v>0.8111020740138267</v>
      </c>
      <c r="Q45" s="12">
        <v>3218</v>
      </c>
      <c r="R45" s="13">
        <f>Q45/Q21</f>
        <v>0.7893058621535443</v>
      </c>
      <c r="S45" s="15" t="s">
        <v>11</v>
      </c>
    </row>
    <row r="46" spans="2:19" ht="12.75">
      <c r="B46" s="11"/>
      <c r="C46" s="11"/>
      <c r="D46" s="8"/>
      <c r="F46" s="8"/>
      <c r="I46" s="8"/>
      <c r="K46" s="8"/>
      <c r="M46" s="8"/>
      <c r="O46" s="8"/>
      <c r="Q46" s="8"/>
      <c r="S46" s="10"/>
    </row>
    <row r="47" spans="1:19" ht="12.75">
      <c r="A47" t="s">
        <v>30</v>
      </c>
      <c r="D47" s="8">
        <v>3</v>
      </c>
      <c r="E47" s="9">
        <v>0.08333333333333333</v>
      </c>
      <c r="F47" s="8">
        <v>7</v>
      </c>
      <c r="G47" s="9">
        <v>0.16666666666666666</v>
      </c>
      <c r="I47" s="8">
        <v>9</v>
      </c>
      <c r="J47" s="9">
        <f>9/41</f>
        <v>0.21951219512195122</v>
      </c>
      <c r="K47" s="8">
        <v>8</v>
      </c>
      <c r="L47" s="9">
        <f>8/48</f>
        <v>0.16666666666666666</v>
      </c>
      <c r="M47" s="8">
        <v>9</v>
      </c>
      <c r="N47" s="9">
        <f>9/46</f>
        <v>0.1956521739130435</v>
      </c>
      <c r="O47" s="8">
        <v>18</v>
      </c>
      <c r="P47" s="9">
        <f>18/58</f>
        <v>0.3103448275862069</v>
      </c>
      <c r="Q47" s="8">
        <v>17</v>
      </c>
      <c r="R47" s="9">
        <f>17/64</f>
        <v>0.265625</v>
      </c>
      <c r="S47" s="10" t="s">
        <v>14</v>
      </c>
    </row>
    <row r="48" spans="4:18" ht="12.75">
      <c r="D48" s="8"/>
      <c r="E48" s="9"/>
      <c r="F48" s="8"/>
      <c r="G48" s="9"/>
      <c r="I48" s="8"/>
      <c r="J48" s="9"/>
      <c r="K48" s="8"/>
      <c r="L48" s="9"/>
      <c r="M48" s="8"/>
      <c r="N48" s="9"/>
      <c r="O48" s="9"/>
      <c r="P48" s="9"/>
      <c r="Q48" s="8"/>
      <c r="R48" s="9"/>
    </row>
    <row r="49" spans="4:18" ht="12.75">
      <c r="D49" s="8"/>
      <c r="E49" s="9"/>
      <c r="F49" s="8"/>
      <c r="G49" s="9"/>
      <c r="I49" s="8"/>
      <c r="J49" s="9"/>
      <c r="K49" s="8"/>
      <c r="L49" s="9"/>
      <c r="M49" s="8"/>
      <c r="N49" s="9"/>
      <c r="O49" s="9"/>
      <c r="P49" s="9"/>
      <c r="Q49" s="8"/>
      <c r="R49" s="9"/>
    </row>
    <row r="50" spans="4:16" ht="12.75">
      <c r="D50" s="8"/>
      <c r="F50" s="8"/>
      <c r="I50" s="8"/>
      <c r="K50" s="10"/>
      <c r="L50" s="8"/>
      <c r="N50" s="10"/>
      <c r="O50" s="10"/>
      <c r="P50" s="10"/>
    </row>
    <row r="51" spans="1:11" ht="12.75">
      <c r="A51" s="3" t="s">
        <v>80</v>
      </c>
      <c r="D51" s="8"/>
      <c r="F51" s="8"/>
      <c r="I51" s="8"/>
      <c r="K51" s="10"/>
    </row>
    <row r="52" spans="4:18" ht="12.75">
      <c r="D52" s="23" t="s">
        <v>68</v>
      </c>
      <c r="E52" s="4"/>
      <c r="F52" s="23"/>
      <c r="G52" s="4"/>
      <c r="I52" s="63" t="s">
        <v>69</v>
      </c>
      <c r="J52" s="63"/>
      <c r="K52" s="63"/>
      <c r="L52" s="63"/>
      <c r="M52" s="63"/>
      <c r="N52" s="63"/>
      <c r="O52" s="63"/>
      <c r="P52" s="63"/>
      <c r="Q52" s="63"/>
      <c r="R52" s="63"/>
    </row>
    <row r="53" spans="4:11" ht="12.75">
      <c r="D53" s="8"/>
      <c r="F53" s="8"/>
      <c r="I53" s="8"/>
      <c r="K53" s="10"/>
    </row>
    <row r="54" spans="4:18" ht="12.75">
      <c r="D54" s="8"/>
      <c r="F54" s="8"/>
      <c r="Q54" s="63"/>
      <c r="R54" s="63"/>
    </row>
    <row r="55" spans="4:17" ht="12.75">
      <c r="D55" s="37" t="s">
        <v>45</v>
      </c>
      <c r="E55" s="7"/>
      <c r="F55" s="37" t="s">
        <v>46</v>
      </c>
      <c r="G55" s="7"/>
      <c r="I55" s="41" t="s">
        <v>50</v>
      </c>
      <c r="K55" s="41" t="s">
        <v>51</v>
      </c>
      <c r="M55" s="41" t="s">
        <v>52</v>
      </c>
      <c r="O55" s="41" t="s">
        <v>83</v>
      </c>
      <c r="Q55" s="41" t="s">
        <v>84</v>
      </c>
    </row>
    <row r="56" spans="4:18" ht="12.75">
      <c r="D56" s="25" t="s">
        <v>31</v>
      </c>
      <c r="E56" s="7" t="s">
        <v>32</v>
      </c>
      <c r="F56" s="25" t="s">
        <v>31</v>
      </c>
      <c r="G56" s="7" t="s">
        <v>32</v>
      </c>
      <c r="I56" s="25" t="s">
        <v>31</v>
      </c>
      <c r="J56" s="7" t="s">
        <v>32</v>
      </c>
      <c r="K56" s="25" t="s">
        <v>31</v>
      </c>
      <c r="L56" s="7" t="s">
        <v>32</v>
      </c>
      <c r="M56" s="25" t="s">
        <v>31</v>
      </c>
      <c r="N56" s="7" t="s">
        <v>32</v>
      </c>
      <c r="O56" s="25" t="s">
        <v>31</v>
      </c>
      <c r="P56" s="7" t="s">
        <v>32</v>
      </c>
      <c r="Q56" s="25" t="s">
        <v>31</v>
      </c>
      <c r="R56" s="7" t="s">
        <v>32</v>
      </c>
    </row>
    <row r="57" spans="4:12" ht="12.75">
      <c r="D57" s="8"/>
      <c r="F57" s="8"/>
      <c r="I57" s="8"/>
      <c r="J57" s="16"/>
      <c r="K57" s="8"/>
      <c r="L57" s="16"/>
    </row>
    <row r="58" spans="4:14" ht="12.75">
      <c r="D58" s="18"/>
      <c r="E58" s="31"/>
      <c r="F58" s="8"/>
      <c r="I58" s="18"/>
      <c r="J58" s="16"/>
      <c r="K58" s="18"/>
      <c r="L58" s="16"/>
      <c r="M58" s="18"/>
      <c r="N58" s="16"/>
    </row>
    <row r="59" spans="1:18" ht="12.75">
      <c r="A59" s="11" t="s">
        <v>34</v>
      </c>
      <c r="B59" s="11"/>
      <c r="C59" s="11"/>
      <c r="D59" s="32">
        <v>134</v>
      </c>
      <c r="E59" s="34">
        <f>D59*1000/27087</f>
        <v>4.947022556946137</v>
      </c>
      <c r="F59" s="12">
        <v>81</v>
      </c>
      <c r="G59" s="34">
        <f>F59*1000/28314</f>
        <v>2.860775588048315</v>
      </c>
      <c r="H59" s="11"/>
      <c r="I59" s="32">
        <v>108</v>
      </c>
      <c r="J59" s="20">
        <f>I59*1000/(44759)</f>
        <v>2.4129225407180677</v>
      </c>
      <c r="K59" s="32">
        <v>129</v>
      </c>
      <c r="L59" s="20">
        <f>K59*1000/(41073)</f>
        <v>3.1407493974143597</v>
      </c>
      <c r="M59" s="32">
        <v>88</v>
      </c>
      <c r="N59" s="20">
        <f>M59*1000/(39941)</f>
        <v>2.2032497934453317</v>
      </c>
      <c r="O59" s="32">
        <v>113</v>
      </c>
      <c r="P59" s="20">
        <f>O59*1000/(58387)</f>
        <v>1.9353623238049567</v>
      </c>
      <c r="Q59" s="32">
        <v>142</v>
      </c>
      <c r="R59" s="20">
        <f>Q59*1000/(62333)</f>
        <v>2.278087048593843</v>
      </c>
    </row>
    <row r="60" spans="1:18" ht="12.75">
      <c r="A60" t="s">
        <v>35</v>
      </c>
      <c r="D60" s="18"/>
      <c r="E60" s="19"/>
      <c r="F60" s="8"/>
      <c r="G60" s="19"/>
      <c r="I60" s="18"/>
      <c r="J60" s="16"/>
      <c r="K60" s="18"/>
      <c r="L60" s="16"/>
      <c r="M60" s="18"/>
      <c r="N60" s="16"/>
      <c r="O60" s="18"/>
      <c r="P60" s="16"/>
      <c r="Q60" s="18"/>
      <c r="R60" s="16"/>
    </row>
    <row r="61" spans="4:18" ht="12.75">
      <c r="D61" s="18"/>
      <c r="E61" s="19"/>
      <c r="F61" s="8" t="s">
        <v>16</v>
      </c>
      <c r="G61" s="19"/>
      <c r="I61" s="18"/>
      <c r="J61" s="16"/>
      <c r="K61" s="18"/>
      <c r="L61" s="16"/>
      <c r="M61" s="18"/>
      <c r="N61" s="16"/>
      <c r="O61" s="18"/>
      <c r="P61" s="16"/>
      <c r="Q61" s="18"/>
      <c r="R61" s="16"/>
    </row>
    <row r="62" spans="1:18" ht="12.75">
      <c r="A62" s="11" t="s">
        <v>36</v>
      </c>
      <c r="D62" s="18">
        <v>40</v>
      </c>
      <c r="E62" s="34">
        <f>D62*1000/18003</f>
        <v>2.2218519135699606</v>
      </c>
      <c r="F62" s="8">
        <v>42</v>
      </c>
      <c r="G62" s="38">
        <f>F62*1000/19144</f>
        <v>2.193898871709152</v>
      </c>
      <c r="I62" s="18">
        <v>52</v>
      </c>
      <c r="J62" s="20">
        <f>I62*1000/(32059)</f>
        <v>1.6220094201316324</v>
      </c>
      <c r="K62" s="18">
        <v>56</v>
      </c>
      <c r="L62" s="20">
        <f>K62*1000/(29015)</f>
        <v>1.9300361881785284</v>
      </c>
      <c r="M62" s="18">
        <v>36</v>
      </c>
      <c r="N62" s="20">
        <f>M62*1000/(27904)</f>
        <v>1.290137614678899</v>
      </c>
      <c r="O62" s="18">
        <v>55</v>
      </c>
      <c r="P62" s="20">
        <f>O62*1000/(40543)</f>
        <v>1.3565843672150557</v>
      </c>
      <c r="Q62" s="18">
        <v>70</v>
      </c>
      <c r="R62" s="20">
        <f>Q62*1000/(43748)</f>
        <v>1.6000731462009692</v>
      </c>
    </row>
    <row r="63" spans="1:18" ht="12.75">
      <c r="A63" t="s">
        <v>35</v>
      </c>
      <c r="D63" s="18"/>
      <c r="E63" s="19"/>
      <c r="F63" s="8"/>
      <c r="G63" s="19"/>
      <c r="I63" s="18"/>
      <c r="J63" s="20"/>
      <c r="K63" s="18"/>
      <c r="L63" s="20"/>
      <c r="M63" s="18"/>
      <c r="N63" s="20"/>
      <c r="O63" s="18"/>
      <c r="P63" s="20"/>
      <c r="Q63" s="18"/>
      <c r="R63" s="20"/>
    </row>
    <row r="64" spans="4:7" ht="12.75">
      <c r="D64" s="18"/>
      <c r="E64" s="19"/>
      <c r="F64" s="8"/>
      <c r="G64" s="19"/>
    </row>
    <row r="65" spans="1:18" ht="12.75">
      <c r="A65" s="11" t="s">
        <v>65</v>
      </c>
      <c r="D65" s="18"/>
      <c r="E65" s="19"/>
      <c r="F65" s="8"/>
      <c r="G65" s="19"/>
      <c r="I65">
        <v>161</v>
      </c>
      <c r="J65" s="20">
        <f>I65*1000/(12700)</f>
        <v>12.67716535433071</v>
      </c>
      <c r="K65">
        <v>160</v>
      </c>
      <c r="L65" s="20">
        <f>K65*1000/(12058)</f>
        <v>13.269198872118096</v>
      </c>
      <c r="M65">
        <v>143</v>
      </c>
      <c r="N65" s="20">
        <f>M65*1000/(12037)</f>
        <v>11.880036553958627</v>
      </c>
      <c r="O65">
        <v>160</v>
      </c>
      <c r="P65" s="20">
        <f>O65*1000/(17844)</f>
        <v>8.966599417171038</v>
      </c>
      <c r="Q65">
        <v>229</v>
      </c>
      <c r="R65" s="20">
        <f>Q65*1000/(18585)</f>
        <v>12.321764864137746</v>
      </c>
    </row>
    <row r="66" spans="4:7" ht="12.75">
      <c r="D66" s="18"/>
      <c r="E66" s="19"/>
      <c r="F66" s="8"/>
      <c r="G66" s="19"/>
    </row>
    <row r="67" spans="1:18" ht="12.75">
      <c r="A67" s="11" t="s">
        <v>37</v>
      </c>
      <c r="D67" s="18">
        <v>196</v>
      </c>
      <c r="E67" s="34">
        <f>D67*1000/18003</f>
        <v>10.887074376492807</v>
      </c>
      <c r="F67" s="8">
        <v>200</v>
      </c>
      <c r="G67" s="34">
        <f>F67*1000/19144</f>
        <v>10.447137484329295</v>
      </c>
      <c r="I67" s="18">
        <v>341</v>
      </c>
      <c r="J67" s="20">
        <f>I67*1000/(32059)</f>
        <v>10.636638697401665</v>
      </c>
      <c r="K67" s="18">
        <v>302</v>
      </c>
      <c r="L67" s="20">
        <f>K67*1000/(29015)</f>
        <v>10.40840944339135</v>
      </c>
      <c r="M67" s="18">
        <v>309</v>
      </c>
      <c r="N67" s="20">
        <f>M67*1000/(27904)</f>
        <v>11.073681192660551</v>
      </c>
      <c r="O67" s="18">
        <v>359</v>
      </c>
      <c r="P67" s="20">
        <f>O67*1000/(40543)</f>
        <v>8.854796142367363</v>
      </c>
      <c r="Q67" s="18">
        <v>488</v>
      </c>
      <c r="R67" s="20">
        <f>Q67*1000/(43748)</f>
        <v>11.154795647801043</v>
      </c>
    </row>
    <row r="68" spans="4:18" ht="12.75">
      <c r="D68" s="18"/>
      <c r="E68" s="19"/>
      <c r="F68" s="8"/>
      <c r="G68" s="19"/>
      <c r="I68" s="18"/>
      <c r="J68" s="16"/>
      <c r="K68" s="18"/>
      <c r="L68" s="16"/>
      <c r="M68" s="18"/>
      <c r="N68" s="16"/>
      <c r="O68" s="18"/>
      <c r="P68" s="16"/>
      <c r="Q68" s="18"/>
      <c r="R68" s="16"/>
    </row>
    <row r="69" spans="1:18" ht="12.75">
      <c r="A69" t="s">
        <v>38</v>
      </c>
      <c r="D69" s="18" t="s">
        <v>33</v>
      </c>
      <c r="E69" s="35" t="s">
        <v>33</v>
      </c>
      <c r="F69" s="18" t="s">
        <v>33</v>
      </c>
      <c r="G69" s="35" t="s">
        <v>33</v>
      </c>
      <c r="I69" s="18">
        <v>25</v>
      </c>
      <c r="J69" s="16">
        <f>I69*1000/(10966)</f>
        <v>2.2797738464344337</v>
      </c>
      <c r="K69" s="18">
        <v>13</v>
      </c>
      <c r="L69" s="16">
        <f>K69*1000/(9600)</f>
        <v>1.3541666666666667</v>
      </c>
      <c r="M69" s="18">
        <v>4</v>
      </c>
      <c r="N69" s="16">
        <f>M69*1000/(8612)</f>
        <v>0.4644681839294008</v>
      </c>
      <c r="O69" s="18">
        <v>8</v>
      </c>
      <c r="P69" s="16">
        <f>O69*1000/(12420)</f>
        <v>0.644122383252818</v>
      </c>
      <c r="Q69" s="18">
        <v>7</v>
      </c>
      <c r="R69" s="16">
        <f>Q69*1000/(13596)</f>
        <v>0.5148573109738158</v>
      </c>
    </row>
    <row r="70" spans="1:18" ht="12.75">
      <c r="A70" t="s">
        <v>35</v>
      </c>
      <c r="D70" s="18"/>
      <c r="E70" s="19"/>
      <c r="F70" s="8"/>
      <c r="G70" s="16"/>
      <c r="I70" s="18"/>
      <c r="J70" s="16"/>
      <c r="K70" s="18"/>
      <c r="L70" s="16"/>
      <c r="M70" s="18"/>
      <c r="N70" s="16"/>
      <c r="O70" s="18"/>
      <c r="P70" s="16"/>
      <c r="Q70" s="18"/>
      <c r="R70" s="16"/>
    </row>
    <row r="71" spans="4:18" ht="12.75">
      <c r="D71" s="18"/>
      <c r="E71" s="19"/>
      <c r="F71" s="8"/>
      <c r="G71" s="16"/>
      <c r="I71" s="18"/>
      <c r="J71" s="16"/>
      <c r="K71" s="18"/>
      <c r="L71" s="16"/>
      <c r="M71" s="18"/>
      <c r="N71" s="16"/>
      <c r="O71" s="18"/>
      <c r="P71" s="16"/>
      <c r="Q71" s="18"/>
      <c r="R71" s="16"/>
    </row>
    <row r="72" spans="1:18" ht="12.75">
      <c r="A72" t="s">
        <v>39</v>
      </c>
      <c r="D72" s="18">
        <v>19808</v>
      </c>
      <c r="E72" s="19">
        <f>D72*1000/27087</f>
        <v>731.2733045372319</v>
      </c>
      <c r="F72" s="8">
        <v>21042</v>
      </c>
      <c r="G72" s="19">
        <f>F72*1000/28314</f>
        <v>743.1659249841068</v>
      </c>
      <c r="I72" s="18">
        <v>33854</v>
      </c>
      <c r="J72" s="20">
        <f>I72*1000/(49306)</f>
        <v>686.6101488662638</v>
      </c>
      <c r="K72" s="18">
        <v>31450</v>
      </c>
      <c r="L72" s="20">
        <f>K72*1000/(41073)</f>
        <v>765.7098337107102</v>
      </c>
      <c r="M72" s="18">
        <v>29994</v>
      </c>
      <c r="N72" s="20">
        <f>M72*1000/(39941)</f>
        <v>750.9576625522645</v>
      </c>
      <c r="O72" s="18">
        <v>40406</v>
      </c>
      <c r="P72" s="20">
        <f>O72*1000/(58387)</f>
        <v>692.0376111120626</v>
      </c>
      <c r="Q72" s="18">
        <v>46779</v>
      </c>
      <c r="R72" s="20">
        <f>Q72*1000/(62333)</f>
        <v>750.4692538462773</v>
      </c>
    </row>
    <row r="73" spans="4:18" ht="12.75">
      <c r="D73" s="18"/>
      <c r="E73" s="19"/>
      <c r="F73" s="8"/>
      <c r="G73" s="19"/>
      <c r="I73" s="18"/>
      <c r="J73" s="16"/>
      <c r="K73" s="18"/>
      <c r="L73" s="16"/>
      <c r="M73" s="18"/>
      <c r="N73" s="16"/>
      <c r="O73" s="18"/>
      <c r="P73" s="16"/>
      <c r="Q73" s="18"/>
      <c r="R73" s="16"/>
    </row>
    <row r="74" spans="1:18" ht="12.75">
      <c r="A74" t="s">
        <v>40</v>
      </c>
      <c r="D74" s="18" t="s">
        <v>33</v>
      </c>
      <c r="E74" s="35" t="s">
        <v>33</v>
      </c>
      <c r="F74" s="18" t="s">
        <v>33</v>
      </c>
      <c r="G74" s="35" t="s">
        <v>33</v>
      </c>
      <c r="I74" s="18">
        <v>20792</v>
      </c>
      <c r="J74" s="16">
        <f>I74*1000/(10966)</f>
        <v>1896.0423126025898</v>
      </c>
      <c r="K74" s="18">
        <v>16036</v>
      </c>
      <c r="L74" s="16">
        <f>K74*1000/(9600)</f>
        <v>1670.4166666666667</v>
      </c>
      <c r="M74" s="18">
        <v>14302</v>
      </c>
      <c r="N74" s="16">
        <f>M74*1000/(8612)</f>
        <v>1660.7059916395726</v>
      </c>
      <c r="O74" s="18">
        <v>17055</v>
      </c>
      <c r="P74" s="16">
        <f>O74*1000/(12420)</f>
        <v>1373.1884057971015</v>
      </c>
      <c r="Q74" s="18">
        <v>19193</v>
      </c>
      <c r="R74" s="16">
        <f>Q74*1000/(13596)</f>
        <v>1411.665195645778</v>
      </c>
    </row>
    <row r="75" spans="4:18" ht="12.75">
      <c r="D75" s="8"/>
      <c r="F75" s="8"/>
      <c r="I75" s="18"/>
      <c r="J75" s="16"/>
      <c r="K75" s="18"/>
      <c r="L75" s="16"/>
      <c r="M75" s="18"/>
      <c r="N75" s="16"/>
      <c r="O75" s="18"/>
      <c r="P75" s="16"/>
      <c r="Q75" s="18"/>
      <c r="R75" s="16"/>
    </row>
    <row r="76" spans="1:18" ht="12.75">
      <c r="A76" t="s">
        <v>41</v>
      </c>
      <c r="D76" s="18" t="s">
        <v>33</v>
      </c>
      <c r="E76" s="35" t="s">
        <v>33</v>
      </c>
      <c r="F76" s="18" t="s">
        <v>33</v>
      </c>
      <c r="G76" s="35" t="s">
        <v>33</v>
      </c>
      <c r="I76" s="18">
        <v>128</v>
      </c>
      <c r="J76" s="16">
        <f>I76*1000/(12892)</f>
        <v>9.928637914986037</v>
      </c>
      <c r="K76" s="18">
        <v>57</v>
      </c>
      <c r="L76" s="16">
        <f>K76*1000/(7629)</f>
        <v>7.4714903657097915</v>
      </c>
      <c r="M76" s="18">
        <v>36</v>
      </c>
      <c r="N76" s="16">
        <f>M76*1000/(6942)</f>
        <v>5.185825410544512</v>
      </c>
      <c r="O76" s="18">
        <v>47</v>
      </c>
      <c r="P76" s="16">
        <f>O76*1000/(9938)</f>
        <v>4.729321795129805</v>
      </c>
      <c r="Q76" s="18">
        <v>47</v>
      </c>
      <c r="R76" s="16">
        <f>Q76*1000/(10710)</f>
        <v>4.388422035480859</v>
      </c>
    </row>
    <row r="77" spans="4:18" ht="12.75">
      <c r="D77" s="8"/>
      <c r="F77" s="8"/>
      <c r="I77" s="18"/>
      <c r="J77" s="16"/>
      <c r="K77" s="18"/>
      <c r="L77" s="16"/>
      <c r="M77" s="18"/>
      <c r="N77" s="16"/>
      <c r="O77" s="18"/>
      <c r="P77" s="16"/>
      <c r="Q77" s="18"/>
      <c r="R77" s="16"/>
    </row>
    <row r="78" spans="1:18" ht="12.75">
      <c r="A78" t="s">
        <v>42</v>
      </c>
      <c r="D78" s="18">
        <v>590</v>
      </c>
      <c r="E78" s="19">
        <f>D78*1000/27087</f>
        <v>21.78166648207627</v>
      </c>
      <c r="F78" s="18">
        <v>553</v>
      </c>
      <c r="G78" s="19">
        <f>F78*1000/28314</f>
        <v>19.53097407642862</v>
      </c>
      <c r="I78" s="18">
        <v>588</v>
      </c>
      <c r="J78" s="20">
        <f>I78*1000/(44759)</f>
        <v>13.13702272168726</v>
      </c>
      <c r="K78" s="18">
        <v>534</v>
      </c>
      <c r="L78" s="20">
        <f>K78*1000/(41073)</f>
        <v>13.001241691622234</v>
      </c>
      <c r="M78" s="18">
        <v>477</v>
      </c>
      <c r="N78" s="20">
        <f>M78*1000/(39941)</f>
        <v>11.942615357652537</v>
      </c>
      <c r="O78" s="18">
        <v>797</v>
      </c>
      <c r="P78" s="20">
        <f>O78*1000/(58387)</f>
        <v>13.650298867898677</v>
      </c>
      <c r="Q78" s="18">
        <v>900</v>
      </c>
      <c r="R78" s="20">
        <f>Q78*1000/(62333)</f>
        <v>14.438579885453933</v>
      </c>
    </row>
    <row r="79" spans="4:12" ht="12.75">
      <c r="D79" s="18"/>
      <c r="E79" s="31"/>
      <c r="F79" s="18"/>
      <c r="G79" s="31"/>
      <c r="I79" s="18"/>
      <c r="J79" s="31"/>
      <c r="K79" s="39"/>
      <c r="L79" s="16"/>
    </row>
    <row r="80" ht="12.75">
      <c r="K80" s="8"/>
    </row>
    <row r="81" spans="4:11" ht="12.75">
      <c r="D81" s="8"/>
      <c r="F81" s="8"/>
      <c r="I81" s="8"/>
      <c r="K81" s="10"/>
    </row>
    <row r="82" spans="4:11" ht="12.75">
      <c r="D82" s="8"/>
      <c r="F82" s="8"/>
      <c r="I82" s="8"/>
      <c r="K82" s="10"/>
    </row>
    <row r="83" spans="1:11" ht="12.75">
      <c r="A83" t="s">
        <v>43</v>
      </c>
      <c r="D83" s="8"/>
      <c r="F83" s="8"/>
      <c r="I83" s="8"/>
      <c r="K83" s="10"/>
    </row>
    <row r="84" spans="1:11" ht="12.75">
      <c r="A84" t="s">
        <v>44</v>
      </c>
      <c r="D84" s="8"/>
      <c r="F84" s="8"/>
      <c r="I84" s="8"/>
      <c r="K84" s="10"/>
    </row>
    <row r="85" spans="1:11" ht="12.75">
      <c r="A85" t="s">
        <v>16</v>
      </c>
      <c r="D85" s="8"/>
      <c r="F85" s="8"/>
      <c r="I85" s="8"/>
      <c r="K85" s="10"/>
    </row>
    <row r="86" spans="4:11" ht="12.75">
      <c r="D86" s="8"/>
      <c r="F86" s="8"/>
      <c r="I86" s="8"/>
      <c r="K86" s="10"/>
    </row>
    <row r="87" spans="1:11" ht="12.75">
      <c r="A87" s="41"/>
      <c r="D87" s="8"/>
      <c r="F87" s="8"/>
      <c r="I87" s="8"/>
      <c r="K87" s="10"/>
    </row>
    <row r="88" spans="1:11" ht="12.75">
      <c r="A88" t="s">
        <v>89</v>
      </c>
      <c r="D88" s="8"/>
      <c r="F88" s="8"/>
      <c r="I88" s="8"/>
      <c r="K88" s="10"/>
    </row>
    <row r="89" spans="4:11" ht="12.75">
      <c r="D89" s="8"/>
      <c r="F89" s="8"/>
      <c r="I89" s="8"/>
      <c r="K89" s="10"/>
    </row>
    <row r="90" spans="1:11" ht="12.75">
      <c r="A90" t="s">
        <v>49</v>
      </c>
      <c r="D90" s="8"/>
      <c r="F90" s="8"/>
      <c r="I90" s="8"/>
      <c r="K90" s="10"/>
    </row>
    <row r="91" ht="12.75">
      <c r="A91" s="29">
        <v>40626</v>
      </c>
    </row>
    <row r="102" spans="1:11" ht="15">
      <c r="A102" s="1" t="s">
        <v>0</v>
      </c>
      <c r="B102" s="2"/>
      <c r="C102" s="2"/>
      <c r="D102" s="21"/>
      <c r="E102" s="2"/>
      <c r="F102" s="21"/>
      <c r="G102" s="2"/>
      <c r="H102" s="2"/>
      <c r="I102" s="21"/>
      <c r="J102" s="2"/>
      <c r="K102" s="2"/>
    </row>
    <row r="103" spans="1:11" ht="15">
      <c r="A103" s="1" t="s">
        <v>81</v>
      </c>
      <c r="B103" s="2"/>
      <c r="C103" s="2"/>
      <c r="D103" s="21"/>
      <c r="E103" s="2"/>
      <c r="F103" s="21"/>
      <c r="G103" s="2"/>
      <c r="H103" s="2"/>
      <c r="I103" s="21"/>
      <c r="J103" s="2"/>
      <c r="K103" s="2"/>
    </row>
    <row r="104" spans="1:9" ht="12.75">
      <c r="A104" s="3"/>
      <c r="D104" s="8"/>
      <c r="F104" s="8"/>
      <c r="I104" s="8"/>
    </row>
    <row r="105" spans="1:18" ht="12.75">
      <c r="A105" s="3"/>
      <c r="D105" s="23" t="s">
        <v>68</v>
      </c>
      <c r="E105" s="4"/>
      <c r="F105" s="23"/>
      <c r="G105" s="4"/>
      <c r="I105" s="63" t="s">
        <v>69</v>
      </c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9" ht="12.75">
      <c r="A106" s="3"/>
      <c r="D106" s="8"/>
      <c r="F106" s="8"/>
      <c r="I106" s="8"/>
    </row>
    <row r="107" spans="4:18" ht="12.75">
      <c r="D107" s="8"/>
      <c r="F107" s="23" t="s">
        <v>1</v>
      </c>
      <c r="G107" s="4"/>
      <c r="Q107" s="63" t="s">
        <v>87</v>
      </c>
      <c r="R107" s="63"/>
    </row>
    <row r="108" spans="4:19" ht="12.75">
      <c r="D108" s="23" t="s">
        <v>45</v>
      </c>
      <c r="E108" s="4"/>
      <c r="F108" s="23" t="s">
        <v>46</v>
      </c>
      <c r="G108" s="4"/>
      <c r="I108" s="63" t="s">
        <v>51</v>
      </c>
      <c r="J108" s="63"/>
      <c r="K108" s="63" t="s">
        <v>52</v>
      </c>
      <c r="L108" s="63"/>
      <c r="M108" s="63" t="s">
        <v>83</v>
      </c>
      <c r="N108" s="63"/>
      <c r="O108" s="63" t="s">
        <v>84</v>
      </c>
      <c r="P108" s="63"/>
      <c r="Q108" s="63" t="s">
        <v>85</v>
      </c>
      <c r="R108" s="63"/>
      <c r="S108" s="5" t="s">
        <v>5</v>
      </c>
    </row>
    <row r="109" spans="1:19" ht="12.75">
      <c r="A109" s="6" t="s">
        <v>2</v>
      </c>
      <c r="D109" s="25" t="s">
        <v>6</v>
      </c>
      <c r="E109" s="7" t="s">
        <v>7</v>
      </c>
      <c r="F109" s="25" t="s">
        <v>8</v>
      </c>
      <c r="G109" s="7" t="s">
        <v>7</v>
      </c>
      <c r="I109" s="25" t="s">
        <v>8</v>
      </c>
      <c r="J109" s="7" t="s">
        <v>7</v>
      </c>
      <c r="K109" s="25" t="s">
        <v>8</v>
      </c>
      <c r="L109" s="7" t="s">
        <v>7</v>
      </c>
      <c r="M109" s="25" t="s">
        <v>8</v>
      </c>
      <c r="N109" s="7" t="s">
        <v>7</v>
      </c>
      <c r="O109" s="25" t="s">
        <v>8</v>
      </c>
      <c r="P109" s="7" t="s">
        <v>7</v>
      </c>
      <c r="Q109" s="25" t="s">
        <v>8</v>
      </c>
      <c r="R109" s="7" t="s">
        <v>7</v>
      </c>
      <c r="S109" s="5" t="s">
        <v>9</v>
      </c>
    </row>
    <row r="110" spans="1:19" ht="12.75">
      <c r="A110" s="11"/>
      <c r="B110" s="11" t="s">
        <v>10</v>
      </c>
      <c r="C110" s="11"/>
      <c r="D110" s="12">
        <v>3290</v>
      </c>
      <c r="E110" s="13">
        <f>D110/D114</f>
        <v>0.8867924528301887</v>
      </c>
      <c r="F110" s="12">
        <v>3363</v>
      </c>
      <c r="G110" s="13">
        <f>F110/F114</f>
        <v>0.8932270916334661</v>
      </c>
      <c r="H110" s="11"/>
      <c r="I110" s="12">
        <v>3454</v>
      </c>
      <c r="J110" s="13">
        <f>I110/I114</f>
        <v>0.9058484133228429</v>
      </c>
      <c r="K110" s="12">
        <v>3512</v>
      </c>
      <c r="L110" s="13">
        <f>K110/K114</f>
        <v>0.9016688061617458</v>
      </c>
      <c r="M110" s="12">
        <v>4626</v>
      </c>
      <c r="N110" s="13">
        <f>M110/M114</f>
        <v>0.8685692827638002</v>
      </c>
      <c r="O110" s="12">
        <v>4626</v>
      </c>
      <c r="P110" s="13">
        <f>O110/O114</f>
        <v>0.8786324786324786</v>
      </c>
      <c r="Q110" s="12">
        <v>4531</v>
      </c>
      <c r="R110" s="13">
        <f>Q110/Q114</f>
        <v>0.8172799422799423</v>
      </c>
      <c r="S110" s="15" t="s">
        <v>11</v>
      </c>
    </row>
    <row r="111" spans="2:19" ht="12.75">
      <c r="B111" t="s">
        <v>12</v>
      </c>
      <c r="D111" s="8">
        <v>337</v>
      </c>
      <c r="E111" s="9">
        <f>D111/D114</f>
        <v>0.0908355795148248</v>
      </c>
      <c r="F111" s="8">
        <v>338</v>
      </c>
      <c r="G111" s="9">
        <f>F111/F114</f>
        <v>0.0897742363877822</v>
      </c>
      <c r="I111" s="8">
        <v>292</v>
      </c>
      <c r="J111" s="9">
        <f>I111/I114</f>
        <v>0.07658012063991608</v>
      </c>
      <c r="K111" s="8">
        <v>305</v>
      </c>
      <c r="L111" s="9">
        <f>K111/K114</f>
        <v>0.07830551989730423</v>
      </c>
      <c r="M111" s="8">
        <v>571</v>
      </c>
      <c r="N111" s="9">
        <f>M111/M114</f>
        <v>0.10720991363124296</v>
      </c>
      <c r="O111" s="8">
        <v>531</v>
      </c>
      <c r="P111" s="9">
        <f>O111/O114</f>
        <v>0.10085470085470086</v>
      </c>
      <c r="Q111" s="8">
        <v>833</v>
      </c>
      <c r="R111" s="9">
        <f>Q111/Q114</f>
        <v>0.15025252525252525</v>
      </c>
      <c r="S111" s="40" t="s">
        <v>11</v>
      </c>
    </row>
    <row r="112" spans="2:19" ht="12.75">
      <c r="B112" t="s">
        <v>13</v>
      </c>
      <c r="D112" s="8">
        <v>55</v>
      </c>
      <c r="E112" s="9">
        <f>D112/D114</f>
        <v>0.014824797843665768</v>
      </c>
      <c r="F112" s="8">
        <v>45</v>
      </c>
      <c r="G112" s="9">
        <f>F112/F114</f>
        <v>0.01195219123505976</v>
      </c>
      <c r="I112" s="8">
        <v>48</v>
      </c>
      <c r="J112" s="9">
        <f>I112/I114</f>
        <v>0.012588512981904013</v>
      </c>
      <c r="K112" s="8">
        <v>56</v>
      </c>
      <c r="L112" s="9">
        <f>K112/K114</f>
        <v>0.014377406931964057</v>
      </c>
      <c r="M112" s="8">
        <v>85</v>
      </c>
      <c r="N112" s="9">
        <f>M112/M114</f>
        <v>0.01595944423582426</v>
      </c>
      <c r="O112" s="8">
        <v>68</v>
      </c>
      <c r="P112" s="9">
        <f>O112/O114</f>
        <v>0.012915479582146248</v>
      </c>
      <c r="Q112" s="8">
        <v>157</v>
      </c>
      <c r="R112" s="9">
        <f>Q112/Q114</f>
        <v>0.02831890331890332</v>
      </c>
      <c r="S112" s="40" t="s">
        <v>11</v>
      </c>
    </row>
    <row r="113" spans="2:19" ht="12.75">
      <c r="B113" t="s">
        <v>15</v>
      </c>
      <c r="D113" s="8">
        <v>28</v>
      </c>
      <c r="E113" s="9">
        <f>D113/D114</f>
        <v>0.007547169811320755</v>
      </c>
      <c r="F113" s="8">
        <v>19</v>
      </c>
      <c r="G113" s="9">
        <f>F113/F114</f>
        <v>0.005046480743691899</v>
      </c>
      <c r="H113" t="s">
        <v>16</v>
      </c>
      <c r="I113" s="8">
        <v>19</v>
      </c>
      <c r="J113" s="9">
        <f>I113/I114</f>
        <v>0.004982953055337005</v>
      </c>
      <c r="K113" s="8">
        <v>22</v>
      </c>
      <c r="L113" s="9">
        <f>K113/K114</f>
        <v>0.005648267008985879</v>
      </c>
      <c r="M113" s="8">
        <v>44</v>
      </c>
      <c r="N113" s="9">
        <f>M113/M114</f>
        <v>0.008261359369132557</v>
      </c>
      <c r="O113" s="8">
        <v>40</v>
      </c>
      <c r="P113" s="9">
        <f>O113/O114</f>
        <v>0.007597340930674264</v>
      </c>
      <c r="Q113" s="8">
        <v>23</v>
      </c>
      <c r="R113" s="9">
        <f>Q113/Q114</f>
        <v>0.004148629148629149</v>
      </c>
      <c r="S113" s="40" t="s">
        <v>11</v>
      </c>
    </row>
    <row r="114" spans="2:19" ht="12.75">
      <c r="B114" t="s">
        <v>17</v>
      </c>
      <c r="D114" s="8">
        <f>SUM(D110:D113)</f>
        <v>3710</v>
      </c>
      <c r="E114" s="9"/>
      <c r="F114" s="8">
        <f>SUM(F110:F113)</f>
        <v>3765</v>
      </c>
      <c r="G114" s="9"/>
      <c r="I114" s="8">
        <f>SUM(I110:I113)</f>
        <v>3813</v>
      </c>
      <c r="K114" s="8">
        <f>SUM(K110:K113)</f>
        <v>3895</v>
      </c>
      <c r="M114" s="8">
        <f>SUM(M110:M113)</f>
        <v>5326</v>
      </c>
      <c r="O114" s="8">
        <f>SUM(O110:O113)</f>
        <v>5265</v>
      </c>
      <c r="Q114" s="8">
        <f>SUM(Q110:Q113)</f>
        <v>5544</v>
      </c>
      <c r="S114" s="10"/>
    </row>
    <row r="115" spans="4:19" ht="12.75">
      <c r="D115" s="8"/>
      <c r="E115" t="s">
        <v>16</v>
      </c>
      <c r="F115" s="8"/>
      <c r="I115" s="8"/>
      <c r="K115" s="8"/>
      <c r="M115" s="8"/>
      <c r="O115" s="8"/>
      <c r="Q115" s="8"/>
      <c r="S115" s="10"/>
    </row>
    <row r="116" spans="1:19" ht="12.75">
      <c r="A116" s="46" t="s">
        <v>18</v>
      </c>
      <c r="B116" s="46"/>
      <c r="C116" s="46"/>
      <c r="D116" s="47">
        <v>256</v>
      </c>
      <c r="E116" s="48">
        <v>0.0694</v>
      </c>
      <c r="F116" s="47">
        <v>255</v>
      </c>
      <c r="G116" s="48">
        <v>0.06842</v>
      </c>
      <c r="H116" s="46"/>
      <c r="I116" s="46">
        <v>250</v>
      </c>
      <c r="J116" s="48">
        <v>0.07274</v>
      </c>
      <c r="K116" s="46">
        <v>329</v>
      </c>
      <c r="L116" s="48">
        <v>0.08842</v>
      </c>
      <c r="M116" s="46">
        <v>488</v>
      </c>
      <c r="N116" s="48">
        <v>0.09507</v>
      </c>
      <c r="O116" s="46">
        <v>437</v>
      </c>
      <c r="P116" s="48">
        <v>0.08533</v>
      </c>
      <c r="Q116" s="46">
        <v>646</v>
      </c>
      <c r="R116" s="48">
        <v>0.1335</v>
      </c>
      <c r="S116" s="49" t="s">
        <v>11</v>
      </c>
    </row>
    <row r="117" spans="4:19" ht="12.75">
      <c r="D117" s="8"/>
      <c r="F117" s="8"/>
      <c r="I117" s="8"/>
      <c r="K117" s="8"/>
      <c r="M117" s="8"/>
      <c r="O117" s="8"/>
      <c r="Q117" s="60" t="s">
        <v>16</v>
      </c>
      <c r="S117" s="10"/>
    </row>
    <row r="118" spans="1:19" ht="12.75">
      <c r="A118" s="6" t="s">
        <v>19</v>
      </c>
      <c r="D118" s="8"/>
      <c r="F118" s="8"/>
      <c r="I118" s="8"/>
      <c r="K118" s="8"/>
      <c r="M118" s="8"/>
      <c r="O118" s="8"/>
      <c r="Q118" s="8"/>
      <c r="S118" s="10"/>
    </row>
    <row r="119" spans="2:19" ht="12.75">
      <c r="B119" t="s">
        <v>53</v>
      </c>
      <c r="D119" s="8">
        <v>32</v>
      </c>
      <c r="E119" s="9">
        <f>D119/D122</f>
        <v>0.008565310492505354</v>
      </c>
      <c r="F119" s="8">
        <v>22</v>
      </c>
      <c r="G119" s="9">
        <f>F119/F122</f>
        <v>0.005777310924369748</v>
      </c>
      <c r="I119" s="8">
        <v>53</v>
      </c>
      <c r="J119" s="9">
        <f>I119/I122</f>
        <v>0.012892240330819751</v>
      </c>
      <c r="K119" s="8">
        <v>52</v>
      </c>
      <c r="L119" s="9">
        <f>K119/K122</f>
        <v>0.012676743052169674</v>
      </c>
      <c r="M119" s="8">
        <v>75</v>
      </c>
      <c r="N119" s="9">
        <f>M119/M122</f>
        <v>0.01364877161055505</v>
      </c>
      <c r="O119" s="8">
        <v>77</v>
      </c>
      <c r="P119" s="9">
        <f>O119/O122</f>
        <v>0.014328247115742463</v>
      </c>
      <c r="Q119" s="8">
        <v>85</v>
      </c>
      <c r="R119" s="9">
        <f>Q119/Q122</f>
        <v>0.014105542648523067</v>
      </c>
      <c r="S119" s="10" t="s">
        <v>14</v>
      </c>
    </row>
    <row r="120" spans="2:19" ht="12.75">
      <c r="B120" t="s">
        <v>54</v>
      </c>
      <c r="D120" s="8">
        <v>167</v>
      </c>
      <c r="E120" s="9">
        <f>D120/D122</f>
        <v>0.04470021413276231</v>
      </c>
      <c r="F120" s="8">
        <v>192</v>
      </c>
      <c r="G120" s="9">
        <f>F120/F122</f>
        <v>0.05042016806722689</v>
      </c>
      <c r="I120" s="8">
        <v>237</v>
      </c>
      <c r="J120" s="9">
        <f>I120/I122</f>
        <v>0.057650206762344926</v>
      </c>
      <c r="K120" s="8">
        <v>206</v>
      </c>
      <c r="L120" s="9">
        <f>K120/K122</f>
        <v>0.05021940516821063</v>
      </c>
      <c r="M120" s="8">
        <v>285</v>
      </c>
      <c r="N120" s="9">
        <f>M120/M122</f>
        <v>0.051865332120109194</v>
      </c>
      <c r="O120" s="8">
        <v>282</v>
      </c>
      <c r="P120" s="9">
        <f>O120/O122</f>
        <v>0.052474879047264604</v>
      </c>
      <c r="Q120" s="8">
        <v>351</v>
      </c>
      <c r="R120" s="9">
        <f>Q120/Q122</f>
        <v>0.058247593760371724</v>
      </c>
      <c r="S120" s="10" t="s">
        <v>14</v>
      </c>
    </row>
    <row r="121" spans="2:19" ht="12.75">
      <c r="B121" t="s">
        <v>20</v>
      </c>
      <c r="D121" s="8">
        <v>3537</v>
      </c>
      <c r="E121" s="9">
        <f>D121/D122</f>
        <v>0.9467344753747323</v>
      </c>
      <c r="F121" s="8">
        <v>3594</v>
      </c>
      <c r="G121" s="9">
        <f>F121/F122</f>
        <v>0.9438025210084033</v>
      </c>
      <c r="I121" s="8">
        <v>3821</v>
      </c>
      <c r="J121" s="9">
        <f>I121/I122</f>
        <v>0.9294575529068353</v>
      </c>
      <c r="K121" s="8">
        <v>3843</v>
      </c>
      <c r="L121" s="9">
        <f>K121/K122</f>
        <v>0.9368600682593856</v>
      </c>
      <c r="M121" s="8">
        <v>5131</v>
      </c>
      <c r="N121" s="9">
        <f>M121/M122</f>
        <v>0.9337579617834395</v>
      </c>
      <c r="O121" s="8">
        <v>5010</v>
      </c>
      <c r="P121" s="9">
        <f>O121/O122</f>
        <v>0.9322664681801265</v>
      </c>
      <c r="Q121" s="8">
        <v>5577</v>
      </c>
      <c r="R121" s="9">
        <f>Q121/Q122</f>
        <v>0.925489545303684</v>
      </c>
      <c r="S121" s="10" t="s">
        <v>14</v>
      </c>
    </row>
    <row r="122" spans="2:19" ht="12.75">
      <c r="B122" t="s">
        <v>17</v>
      </c>
      <c r="D122" s="8">
        <f>SUM(D119:D121)</f>
        <v>3736</v>
      </c>
      <c r="E122" s="9"/>
      <c r="F122" s="8">
        <f>SUM(F119:F121)</f>
        <v>3808</v>
      </c>
      <c r="G122" s="9"/>
      <c r="I122" s="8">
        <f>SUM(I119:I121)</f>
        <v>4111</v>
      </c>
      <c r="K122" s="8">
        <v>4102</v>
      </c>
      <c r="M122" s="8">
        <v>5495</v>
      </c>
      <c r="O122" s="8">
        <v>5374</v>
      </c>
      <c r="Q122" s="8">
        <v>6026</v>
      </c>
      <c r="S122" s="10"/>
    </row>
    <row r="123" spans="4:19" ht="12.75">
      <c r="D123" s="8"/>
      <c r="E123" s="9"/>
      <c r="F123" s="8"/>
      <c r="G123" s="9"/>
      <c r="I123" s="8"/>
      <c r="K123" s="8"/>
      <c r="M123" s="8"/>
      <c r="O123" s="8"/>
      <c r="Q123" s="8"/>
      <c r="S123" s="10"/>
    </row>
    <row r="124" spans="1:19" ht="12.75">
      <c r="A124" s="6" t="s">
        <v>48</v>
      </c>
      <c r="D124" s="8">
        <f>SUM(D119:D120)</f>
        <v>199</v>
      </c>
      <c r="E124" s="9">
        <f>D124/D122</f>
        <v>0.053265524625267666</v>
      </c>
      <c r="F124" s="8">
        <f>SUM(F119:F120)</f>
        <v>214</v>
      </c>
      <c r="G124" s="9">
        <f>F124/F122</f>
        <v>0.05619747899159664</v>
      </c>
      <c r="I124" s="8">
        <f>SUM(I119:I120)</f>
        <v>290</v>
      </c>
      <c r="J124" s="9">
        <f>I124/I122</f>
        <v>0.07054244709316468</v>
      </c>
      <c r="K124" s="8">
        <f>SUM(K119:K120)</f>
        <v>258</v>
      </c>
      <c r="L124" s="9">
        <f>K124/K122</f>
        <v>0.0628961482203803</v>
      </c>
      <c r="M124" s="8">
        <f>SUM(M119:M120)</f>
        <v>360</v>
      </c>
      <c r="N124" s="9">
        <f>M124/M122</f>
        <v>0.06551410373066424</v>
      </c>
      <c r="O124" s="8">
        <f>SUM(O119:O120)</f>
        <v>359</v>
      </c>
      <c r="P124" s="9">
        <f>O124/O122</f>
        <v>0.06680312616300707</v>
      </c>
      <c r="Q124" s="8">
        <f>SUM(Q119:Q120)</f>
        <v>436</v>
      </c>
      <c r="R124" s="9">
        <f>Q124/Q122</f>
        <v>0.07235313640889479</v>
      </c>
      <c r="S124" s="10" t="s">
        <v>14</v>
      </c>
    </row>
    <row r="125" spans="1:19" ht="12.75">
      <c r="A125" s="6"/>
      <c r="D125" s="8"/>
      <c r="E125" s="9"/>
      <c r="F125" s="8"/>
      <c r="G125" s="9"/>
      <c r="I125" s="8"/>
      <c r="J125" s="9"/>
      <c r="K125" s="8"/>
      <c r="L125" s="9"/>
      <c r="M125" s="8"/>
      <c r="N125" s="9"/>
      <c r="O125" s="8"/>
      <c r="P125" s="9"/>
      <c r="Q125" s="8"/>
      <c r="R125" s="9"/>
      <c r="S125" s="10"/>
    </row>
    <row r="126" spans="1:19" ht="12.75">
      <c r="A126" t="s">
        <v>57</v>
      </c>
      <c r="D126" s="8"/>
      <c r="E126" s="9"/>
      <c r="F126" s="8"/>
      <c r="G126" s="9"/>
      <c r="I126" s="8"/>
      <c r="J126" s="9"/>
      <c r="K126" s="8"/>
      <c r="L126" s="9"/>
      <c r="M126" s="8"/>
      <c r="N126" s="9"/>
      <c r="O126" s="8"/>
      <c r="P126" s="9"/>
      <c r="Q126" s="8"/>
      <c r="R126" s="9"/>
      <c r="S126" s="10"/>
    </row>
    <row r="127" spans="2:19" ht="12.75">
      <c r="B127" t="s">
        <v>55</v>
      </c>
      <c r="D127" s="8">
        <v>74</v>
      </c>
      <c r="E127" s="9">
        <f>D127/D122</f>
        <v>0.01980728051391863</v>
      </c>
      <c r="F127" s="8">
        <v>63</v>
      </c>
      <c r="G127" s="9">
        <f>F127/F122</f>
        <v>0.016544117647058824</v>
      </c>
      <c r="I127" s="8">
        <v>96</v>
      </c>
      <c r="J127" s="9">
        <f>I127/I122</f>
        <v>0.023351982486013136</v>
      </c>
      <c r="K127" s="8">
        <v>84</v>
      </c>
      <c r="L127" s="9">
        <f>K127/K122</f>
        <v>0.020477815699658702</v>
      </c>
      <c r="M127" s="8">
        <v>126</v>
      </c>
      <c r="N127" s="9">
        <f>M127/M122</f>
        <v>0.022929936305732482</v>
      </c>
      <c r="O127" s="8">
        <v>133</v>
      </c>
      <c r="P127" s="9">
        <f>O127/O122</f>
        <v>0.024748790472646075</v>
      </c>
      <c r="Q127" s="8">
        <v>145</v>
      </c>
      <c r="R127" s="9">
        <f>Q127/6014</f>
        <v>0.02411040904556036</v>
      </c>
      <c r="S127" s="10" t="s">
        <v>14</v>
      </c>
    </row>
    <row r="128" spans="2:19" ht="12.75">
      <c r="B128" t="s">
        <v>56</v>
      </c>
      <c r="D128" s="8">
        <v>275</v>
      </c>
      <c r="E128" s="9">
        <f>D128/D122</f>
        <v>0.07360813704496788</v>
      </c>
      <c r="F128" s="8">
        <v>287</v>
      </c>
      <c r="G128" s="9">
        <f>F128/F122</f>
        <v>0.07536764705882353</v>
      </c>
      <c r="I128" s="8">
        <v>376</v>
      </c>
      <c r="J128" s="9">
        <f>I128/I122</f>
        <v>0.09146193140355145</v>
      </c>
      <c r="K128" s="8">
        <v>377</v>
      </c>
      <c r="L128" s="9">
        <f>K128/K122</f>
        <v>0.09190638712823013</v>
      </c>
      <c r="M128" s="8">
        <v>475</v>
      </c>
      <c r="N128" s="9">
        <f>M128/M122</f>
        <v>0.08644222020018198</v>
      </c>
      <c r="O128" s="8">
        <v>467</v>
      </c>
      <c r="P128" s="9">
        <f>O128/O122</f>
        <v>0.08689988835132118</v>
      </c>
      <c r="Q128" s="8">
        <v>565</v>
      </c>
      <c r="R128" s="9">
        <f>Q128/6014</f>
        <v>0.09394745593614899</v>
      </c>
      <c r="S128" s="10" t="s">
        <v>14</v>
      </c>
    </row>
    <row r="129" spans="4:19" ht="12.75">
      <c r="D129" s="8"/>
      <c r="F129" s="8"/>
      <c r="I129" s="8"/>
      <c r="K129" s="8"/>
      <c r="M129" s="8"/>
      <c r="O129" s="8"/>
      <c r="Q129" s="8"/>
      <c r="S129" s="10"/>
    </row>
    <row r="130" spans="1:19" ht="12.75">
      <c r="A130" s="6" t="s">
        <v>22</v>
      </c>
      <c r="D130" s="8"/>
      <c r="F130" s="8"/>
      <c r="I130" s="8"/>
      <c r="K130" s="8"/>
      <c r="M130" s="8"/>
      <c r="O130" s="8"/>
      <c r="Q130" s="8"/>
      <c r="S130" s="10"/>
    </row>
    <row r="131" spans="2:19" ht="12.75">
      <c r="B131" t="s">
        <v>23</v>
      </c>
      <c r="D131" s="8">
        <v>785</v>
      </c>
      <c r="E131" s="9">
        <f>D131/D122</f>
        <v>0.21011777301927195</v>
      </c>
      <c r="F131" s="8">
        <v>795</v>
      </c>
      <c r="G131" s="9">
        <f>F131/F122</f>
        <v>0.20877100840336135</v>
      </c>
      <c r="I131" s="8">
        <v>1346</v>
      </c>
      <c r="J131" s="9">
        <f>I131/I122</f>
        <v>0.32741425443930916</v>
      </c>
      <c r="K131" s="8">
        <v>1372</v>
      </c>
      <c r="L131" s="9">
        <f>K131/K122</f>
        <v>0.33447098976109213</v>
      </c>
      <c r="M131" s="8">
        <v>1794</v>
      </c>
      <c r="N131" s="9">
        <f>M131/M122</f>
        <v>0.32647861692447677</v>
      </c>
      <c r="O131" s="8">
        <v>1731</v>
      </c>
      <c r="P131" s="9">
        <f>O131/O122</f>
        <v>0.32210643840714553</v>
      </c>
      <c r="Q131" s="8">
        <v>2013</v>
      </c>
      <c r="R131" s="9">
        <f>Q131/Q122</f>
        <v>0.33405243942914037</v>
      </c>
      <c r="S131" s="10" t="s">
        <v>14</v>
      </c>
    </row>
    <row r="132" spans="2:19" ht="12.75">
      <c r="B132" t="s">
        <v>24</v>
      </c>
      <c r="D132" s="8">
        <v>129</v>
      </c>
      <c r="E132" s="9">
        <f>D132/432</f>
        <v>0.2986111111111111</v>
      </c>
      <c r="F132" s="8">
        <v>157</v>
      </c>
      <c r="G132" s="9">
        <f>157/442</f>
        <v>0.3552036199095023</v>
      </c>
      <c r="I132" s="8">
        <v>43</v>
      </c>
      <c r="J132" s="9">
        <f>I132/601</f>
        <v>0.07154742096505824</v>
      </c>
      <c r="K132" s="8">
        <v>49</v>
      </c>
      <c r="L132" s="9">
        <v>0.07668</v>
      </c>
      <c r="M132" s="8">
        <v>66</v>
      </c>
      <c r="N132" s="9">
        <v>0.078107</v>
      </c>
      <c r="O132" s="8">
        <v>60</v>
      </c>
      <c r="P132" s="9">
        <v>0.07732</v>
      </c>
      <c r="Q132" s="8">
        <v>85</v>
      </c>
      <c r="R132" s="9">
        <v>0.10143</v>
      </c>
      <c r="S132" s="10" t="s">
        <v>14</v>
      </c>
    </row>
    <row r="133" spans="4:19" ht="12.75">
      <c r="D133" s="8"/>
      <c r="F133" s="8"/>
      <c r="I133" s="8"/>
      <c r="K133" s="8"/>
      <c r="M133" s="8"/>
      <c r="O133" s="8"/>
      <c r="Q133" s="8"/>
      <c r="S133" s="10"/>
    </row>
    <row r="134" spans="1:19" ht="12.75">
      <c r="A134" s="53" t="s">
        <v>58</v>
      </c>
      <c r="D134" s="8">
        <v>404</v>
      </c>
      <c r="E134" s="13">
        <v>0.12814</v>
      </c>
      <c r="F134" s="8">
        <v>565</v>
      </c>
      <c r="G134" s="13">
        <v>0.15441</v>
      </c>
      <c r="I134" s="8">
        <v>712</v>
      </c>
      <c r="J134" s="13">
        <v>0.20401</v>
      </c>
      <c r="K134" s="8">
        <v>797</v>
      </c>
      <c r="L134" s="13">
        <v>0.21794</v>
      </c>
      <c r="M134" s="8">
        <v>1104</v>
      </c>
      <c r="N134" s="13">
        <v>0.22005</v>
      </c>
      <c r="O134" s="8">
        <v>1119</v>
      </c>
      <c r="P134" s="13">
        <v>0.21997</v>
      </c>
      <c r="Q134" s="8">
        <v>1345</v>
      </c>
      <c r="R134" s="13">
        <v>0.22514</v>
      </c>
      <c r="S134" s="10" t="s">
        <v>14</v>
      </c>
    </row>
    <row r="135" spans="4:19" ht="12.75">
      <c r="D135" s="8"/>
      <c r="F135" s="8"/>
      <c r="I135" s="8"/>
      <c r="K135" s="8"/>
      <c r="M135" s="8"/>
      <c r="O135" s="8"/>
      <c r="Q135" s="8"/>
      <c r="S135" s="10"/>
    </row>
    <row r="136" spans="1:19" ht="12.75">
      <c r="A136" s="14" t="s">
        <v>25</v>
      </c>
      <c r="B136" s="11"/>
      <c r="C136" s="11"/>
      <c r="D136" s="12">
        <v>461</v>
      </c>
      <c r="E136" s="13">
        <f>D136/D122</f>
        <v>0.12339400428265525</v>
      </c>
      <c r="F136" s="12">
        <v>450</v>
      </c>
      <c r="G136" s="13">
        <f>F136/F122</f>
        <v>0.11817226890756302</v>
      </c>
      <c r="H136" s="11"/>
      <c r="I136" s="12">
        <v>372</v>
      </c>
      <c r="J136" s="13">
        <f>I136/I122</f>
        <v>0.0904889321333009</v>
      </c>
      <c r="K136" s="12">
        <v>372</v>
      </c>
      <c r="L136" s="13">
        <f>K136/K122</f>
        <v>0.09068746952705997</v>
      </c>
      <c r="M136" s="12">
        <v>527</v>
      </c>
      <c r="N136" s="13">
        <f>M136/M122</f>
        <v>0.09590536851683348</v>
      </c>
      <c r="O136" s="12">
        <v>464</v>
      </c>
      <c r="P136" s="13">
        <f>O136/O122</f>
        <v>0.08634164495720134</v>
      </c>
      <c r="Q136" s="12">
        <v>688</v>
      </c>
      <c r="R136" s="13">
        <f>Q136/Q122</f>
        <v>0.1141719216727514</v>
      </c>
      <c r="S136" s="15" t="s">
        <v>14</v>
      </c>
    </row>
    <row r="137" spans="1:19" ht="12.75">
      <c r="A137" s="6"/>
      <c r="D137" s="8"/>
      <c r="E137" s="9" t="s">
        <v>16</v>
      </c>
      <c r="F137" s="8"/>
      <c r="G137" s="9" t="s">
        <v>16</v>
      </c>
      <c r="I137" s="8"/>
      <c r="K137" s="8"/>
      <c r="M137" s="8"/>
      <c r="O137" s="8"/>
      <c r="Q137" s="8"/>
      <c r="S137" s="10"/>
    </row>
    <row r="138" spans="1:19" ht="12.75">
      <c r="A138" s="14" t="s">
        <v>26</v>
      </c>
      <c r="B138" s="11"/>
      <c r="C138" s="11"/>
      <c r="D138" s="12">
        <v>154</v>
      </c>
      <c r="E138" s="13">
        <v>0.071</v>
      </c>
      <c r="F138" s="12">
        <v>127</v>
      </c>
      <c r="G138" s="13">
        <v>0.057181</v>
      </c>
      <c r="H138" s="11"/>
      <c r="I138" s="12">
        <v>159</v>
      </c>
      <c r="J138" s="13">
        <v>0.06848</v>
      </c>
      <c r="K138" s="12">
        <v>176</v>
      </c>
      <c r="L138" s="13">
        <v>0.07636</v>
      </c>
      <c r="M138" s="12">
        <v>286</v>
      </c>
      <c r="N138" s="13">
        <v>0.09114</v>
      </c>
      <c r="O138" s="12">
        <v>225</v>
      </c>
      <c r="P138" s="13">
        <v>0.07118</v>
      </c>
      <c r="Q138" s="12">
        <v>290</v>
      </c>
      <c r="R138" s="13">
        <v>0.08305</v>
      </c>
      <c r="S138" s="15" t="s">
        <v>14</v>
      </c>
    </row>
    <row r="139" spans="1:19" ht="12.75">
      <c r="A139" s="6"/>
      <c r="D139" s="8"/>
      <c r="E139" s="9"/>
      <c r="F139" s="8"/>
      <c r="G139" s="9"/>
      <c r="I139" s="8"/>
      <c r="K139" s="8"/>
      <c r="M139" s="8"/>
      <c r="O139" s="8"/>
      <c r="Q139" s="8"/>
      <c r="S139" s="10"/>
    </row>
    <row r="140" spans="1:19" ht="12.75">
      <c r="A140" s="6" t="s">
        <v>27</v>
      </c>
      <c r="D140" s="8">
        <v>46</v>
      </c>
      <c r="E140" s="9">
        <f>D140/D122</f>
        <v>0.012312633832976445</v>
      </c>
      <c r="F140" s="8">
        <v>43</v>
      </c>
      <c r="G140" s="9">
        <f>F140/F122</f>
        <v>0.011292016806722689</v>
      </c>
      <c r="I140" s="8">
        <v>61</v>
      </c>
      <c r="J140" s="9">
        <f>I140/I122</f>
        <v>0.014838238871320847</v>
      </c>
      <c r="K140" s="8">
        <v>65</v>
      </c>
      <c r="L140" s="9">
        <f>K140/K122</f>
        <v>0.01584592881521209</v>
      </c>
      <c r="M140" s="8">
        <v>71</v>
      </c>
      <c r="N140" s="9">
        <f>M140/M122</f>
        <v>0.01292083712465878</v>
      </c>
      <c r="O140" s="8">
        <v>70</v>
      </c>
      <c r="P140" s="9">
        <f>O140/O122</f>
        <v>0.013025679196129512</v>
      </c>
      <c r="Q140" s="8">
        <v>68</v>
      </c>
      <c r="R140" s="9">
        <f>Q140/Q122</f>
        <v>0.011284434118818453</v>
      </c>
      <c r="S140" s="10" t="s">
        <v>14</v>
      </c>
    </row>
    <row r="141" spans="4:19" ht="12.75">
      <c r="D141" s="8"/>
      <c r="E141" t="s">
        <v>16</v>
      </c>
      <c r="F141" s="8"/>
      <c r="I141" s="8"/>
      <c r="K141" s="8"/>
      <c r="M141" s="8"/>
      <c r="O141" s="8"/>
      <c r="Q141" s="8"/>
      <c r="S141" s="10"/>
    </row>
    <row r="142" spans="1:19" ht="12.75">
      <c r="A142" s="53" t="s">
        <v>59</v>
      </c>
      <c r="D142" s="8">
        <v>404</v>
      </c>
      <c r="E142" s="9">
        <f>D142/D122</f>
        <v>0.10813704496788008</v>
      </c>
      <c r="F142" s="8">
        <v>464</v>
      </c>
      <c r="G142" s="9">
        <f>F142/F122</f>
        <v>0.12184873949579832</v>
      </c>
      <c r="I142" s="8">
        <v>589</v>
      </c>
      <c r="J142" s="9">
        <f>I142/I122</f>
        <v>0.14327414254439308</v>
      </c>
      <c r="K142" s="8">
        <v>536</v>
      </c>
      <c r="L142" s="9">
        <f>K142/K122</f>
        <v>0.13066796684544124</v>
      </c>
      <c r="M142" s="8">
        <v>700</v>
      </c>
      <c r="N142" s="9">
        <f>M142/M122</f>
        <v>0.12738853503184713</v>
      </c>
      <c r="O142" s="8">
        <v>702</v>
      </c>
      <c r="P142" s="9">
        <f>O142/O122</f>
        <v>0.1306289542240417</v>
      </c>
      <c r="Q142" s="8">
        <v>777</v>
      </c>
      <c r="R142" s="9">
        <f>Q142/Q122</f>
        <v>0.12894125456355793</v>
      </c>
      <c r="S142" s="10" t="s">
        <v>14</v>
      </c>
    </row>
    <row r="143" spans="4:19" ht="12.75">
      <c r="D143" s="8"/>
      <c r="F143" s="8"/>
      <c r="I143" s="8"/>
      <c r="K143" s="8"/>
      <c r="M143" s="8"/>
      <c r="O143" s="8"/>
      <c r="Q143" s="8"/>
      <c r="S143" s="10"/>
    </row>
    <row r="144" spans="1:19" ht="12.75">
      <c r="A144" s="11" t="s">
        <v>28</v>
      </c>
      <c r="B144" s="11"/>
      <c r="C144" s="11"/>
      <c r="D144" s="12">
        <v>20</v>
      </c>
      <c r="E144" s="13">
        <f>D144/D122</f>
        <v>0.0053533190578158455</v>
      </c>
      <c r="F144" s="12">
        <v>15</v>
      </c>
      <c r="G144" s="13">
        <f>F144/F122</f>
        <v>0.003939075630252101</v>
      </c>
      <c r="H144" s="15"/>
      <c r="I144" s="12">
        <v>26</v>
      </c>
      <c r="J144" s="13">
        <f>I144/I122</f>
        <v>0.006324495256628557</v>
      </c>
      <c r="K144" s="12">
        <v>16</v>
      </c>
      <c r="L144" s="13">
        <f>K144/K122</f>
        <v>0.0039005363237445147</v>
      </c>
      <c r="M144" s="12">
        <v>32</v>
      </c>
      <c r="N144" s="13">
        <f>M144/M122</f>
        <v>0.005823475887170155</v>
      </c>
      <c r="O144" s="12">
        <v>31</v>
      </c>
      <c r="P144" s="13">
        <f>O144/O122</f>
        <v>0.0057685150725716415</v>
      </c>
      <c r="Q144" s="12">
        <v>25</v>
      </c>
      <c r="R144" s="13">
        <f>Q144/Q122</f>
        <v>0.00414868901427149</v>
      </c>
      <c r="S144" s="15" t="s">
        <v>14</v>
      </c>
    </row>
    <row r="145" spans="4:19" ht="12.75">
      <c r="D145" s="8"/>
      <c r="F145" s="8"/>
      <c r="H145" s="10"/>
      <c r="I145" s="8"/>
      <c r="K145" s="8"/>
      <c r="M145" s="8"/>
      <c r="O145" s="8"/>
      <c r="Q145" s="8"/>
      <c r="S145" s="10"/>
    </row>
    <row r="146" spans="1:19" ht="12.75">
      <c r="A146" s="11" t="s">
        <v>29</v>
      </c>
      <c r="B146" s="11"/>
      <c r="C146" s="11"/>
      <c r="D146" s="12">
        <v>316</v>
      </c>
      <c r="E146" s="13">
        <v>0.08585</v>
      </c>
      <c r="F146" s="12">
        <v>305</v>
      </c>
      <c r="G146" s="13">
        <v>0.08105</v>
      </c>
      <c r="H146" s="11"/>
      <c r="I146" s="12">
        <v>472</v>
      </c>
      <c r="J146" s="13">
        <f>I146/I122</f>
        <v>0.11481391388956458</v>
      </c>
      <c r="K146" s="12">
        <v>465</v>
      </c>
      <c r="L146" s="13">
        <f>K146/K122</f>
        <v>0.11335933690882496</v>
      </c>
      <c r="M146" s="12">
        <v>799</v>
      </c>
      <c r="N146" s="13">
        <f>M146/M122</f>
        <v>0.1454049135577798</v>
      </c>
      <c r="O146" s="12">
        <v>802</v>
      </c>
      <c r="P146" s="13">
        <f>O146/O122</f>
        <v>0.14923706736136955</v>
      </c>
      <c r="Q146" s="12">
        <v>1567</v>
      </c>
      <c r="R146" s="13">
        <f>Q146/Q122</f>
        <v>0.260039827414537</v>
      </c>
      <c r="S146" s="15" t="s">
        <v>11</v>
      </c>
    </row>
    <row r="147" spans="4:19" ht="12.75">
      <c r="D147" s="8"/>
      <c r="F147" s="8"/>
      <c r="I147" s="8"/>
      <c r="K147" s="8"/>
      <c r="M147" s="8"/>
      <c r="O147" s="8"/>
      <c r="Q147" s="8"/>
      <c r="S147" s="10"/>
    </row>
    <row r="148" spans="1:19" ht="12.75">
      <c r="A148" t="s">
        <v>30</v>
      </c>
      <c r="D148" s="8">
        <v>5</v>
      </c>
      <c r="E148" s="9">
        <v>0.15625</v>
      </c>
      <c r="F148" s="8">
        <v>1</v>
      </c>
      <c r="G148" s="9">
        <v>0.045454545454545456</v>
      </c>
      <c r="I148" s="8">
        <v>14</v>
      </c>
      <c r="J148" s="9">
        <f>14/52</f>
        <v>0.2692307692307692</v>
      </c>
      <c r="K148" s="8">
        <v>5</v>
      </c>
      <c r="L148" s="9">
        <f>5/52</f>
        <v>0.09615384615384616</v>
      </c>
      <c r="M148" s="8">
        <v>6</v>
      </c>
      <c r="N148" s="9">
        <f>6/53</f>
        <v>0.11320754716981132</v>
      </c>
      <c r="O148" s="8">
        <v>6</v>
      </c>
      <c r="P148" s="9">
        <f>6/53</f>
        <v>0.11320754716981132</v>
      </c>
      <c r="Q148" s="8">
        <v>9</v>
      </c>
      <c r="R148" s="9">
        <f>9/64</f>
        <v>0.140625</v>
      </c>
      <c r="S148" s="10" t="s">
        <v>14</v>
      </c>
    </row>
    <row r="149" spans="4:17" ht="12.75">
      <c r="D149" s="8"/>
      <c r="E149" s="9"/>
      <c r="F149" s="8"/>
      <c r="G149" s="9"/>
      <c r="I149" s="8"/>
      <c r="J149" s="9"/>
      <c r="K149" s="8"/>
      <c r="L149" s="9"/>
      <c r="M149" s="8"/>
      <c r="N149" s="9"/>
      <c r="O149" s="8"/>
      <c r="P149" s="9"/>
      <c r="Q149" s="8"/>
    </row>
    <row r="150" spans="4:18" ht="12.75">
      <c r="D150" s="8"/>
      <c r="E150" s="9"/>
      <c r="F150" s="8"/>
      <c r="G150" s="9"/>
      <c r="I150" s="8"/>
      <c r="J150" s="9"/>
      <c r="K150" s="8"/>
      <c r="L150" s="9"/>
      <c r="M150" s="8"/>
      <c r="N150" s="9"/>
      <c r="O150" s="9"/>
      <c r="P150" s="9"/>
      <c r="Q150" s="8"/>
      <c r="R150" s="9"/>
    </row>
    <row r="151" spans="4:18" ht="12.75">
      <c r="D151" s="8"/>
      <c r="F151" s="8"/>
      <c r="I151" s="52" t="s">
        <v>16</v>
      </c>
      <c r="J151" s="52"/>
      <c r="K151" s="52"/>
      <c r="L151" s="52"/>
      <c r="M151" s="52"/>
      <c r="N151" s="52"/>
      <c r="O151" s="52"/>
      <c r="P151" s="52"/>
      <c r="Q151" s="52"/>
      <c r="R151" s="9"/>
    </row>
    <row r="152" spans="1:18" ht="12.75">
      <c r="A152" s="3" t="s">
        <v>76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</row>
    <row r="153" spans="4:18" ht="12.75">
      <c r="D153" s="23" t="s">
        <v>68</v>
      </c>
      <c r="E153" s="4"/>
      <c r="F153" s="23"/>
      <c r="G153" s="4"/>
      <c r="I153" s="63" t="s">
        <v>69</v>
      </c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4:17" ht="12.75">
      <c r="D154" s="8"/>
      <c r="F154" s="8"/>
      <c r="Q154" s="23"/>
    </row>
    <row r="155" spans="4:18" ht="12.75">
      <c r="D155" s="37" t="s">
        <v>45</v>
      </c>
      <c r="E155" s="7"/>
      <c r="F155" s="37" t="s">
        <v>46</v>
      </c>
      <c r="G155" s="7"/>
      <c r="I155" s="41" t="s">
        <v>50</v>
      </c>
      <c r="K155" s="41" t="s">
        <v>51</v>
      </c>
      <c r="M155" s="63" t="s">
        <v>52</v>
      </c>
      <c r="N155" s="63"/>
      <c r="O155" s="63" t="s">
        <v>83</v>
      </c>
      <c r="P155" s="63"/>
      <c r="Q155" s="63" t="s">
        <v>84</v>
      </c>
      <c r="R155" s="63"/>
    </row>
    <row r="156" spans="4:18" ht="12.75">
      <c r="D156" s="25" t="s">
        <v>31</v>
      </c>
      <c r="E156" s="7" t="s">
        <v>32</v>
      </c>
      <c r="F156" s="25" t="s">
        <v>31</v>
      </c>
      <c r="G156" s="7" t="s">
        <v>32</v>
      </c>
      <c r="I156" s="25" t="s">
        <v>31</v>
      </c>
      <c r="J156" s="7" t="s">
        <v>32</v>
      </c>
      <c r="K156" s="25" t="s">
        <v>31</v>
      </c>
      <c r="L156" s="7" t="s">
        <v>32</v>
      </c>
      <c r="M156" s="25" t="s">
        <v>31</v>
      </c>
      <c r="N156" s="7" t="s">
        <v>32</v>
      </c>
      <c r="O156" s="25" t="s">
        <v>31</v>
      </c>
      <c r="P156" s="7" t="s">
        <v>32</v>
      </c>
      <c r="Q156" s="25" t="s">
        <v>31</v>
      </c>
      <c r="R156" s="7" t="s">
        <v>32</v>
      </c>
    </row>
    <row r="157" spans="4:6" ht="12.75">
      <c r="D157" s="8"/>
      <c r="F157" s="8"/>
    </row>
    <row r="158" spans="4:14" ht="12.75">
      <c r="D158" s="18"/>
      <c r="E158" s="31"/>
      <c r="F158" s="8"/>
      <c r="I158" s="18"/>
      <c r="J158" s="31"/>
      <c r="K158" s="18"/>
      <c r="L158" s="31"/>
      <c r="M158" s="18"/>
      <c r="N158" s="31"/>
    </row>
    <row r="159" spans="1:18" ht="12.75">
      <c r="A159" s="11" t="s">
        <v>34</v>
      </c>
      <c r="B159" s="11"/>
      <c r="C159" s="11"/>
      <c r="D159" s="32">
        <v>132</v>
      </c>
      <c r="E159" s="34">
        <f>D159*1000/92390</f>
        <v>1.4287260526030956</v>
      </c>
      <c r="F159" s="12">
        <v>76</v>
      </c>
      <c r="G159" s="34">
        <f>F159*1000/92390</f>
        <v>0.8225998484684489</v>
      </c>
      <c r="H159" s="11"/>
      <c r="I159" s="32">
        <v>64</v>
      </c>
      <c r="J159" s="19">
        <f>I159*1000/(80079)</f>
        <v>0.7992107793553865</v>
      </c>
      <c r="K159" s="32">
        <v>82</v>
      </c>
      <c r="L159" s="19">
        <f>K159*1000/(87906)</f>
        <v>0.9328145974108707</v>
      </c>
      <c r="M159" s="32">
        <v>63</v>
      </c>
      <c r="N159" s="19">
        <f>M159*1000/(91349)</f>
        <v>0.6896627220878171</v>
      </c>
      <c r="O159" s="32">
        <v>98</v>
      </c>
      <c r="P159" s="19">
        <f>O159*1000/(124594)</f>
        <v>0.7865547297622678</v>
      </c>
      <c r="Q159" s="32">
        <v>106</v>
      </c>
      <c r="R159" s="19">
        <f>Q159*1000/(120186)</f>
        <v>0.8819662855906678</v>
      </c>
    </row>
    <row r="160" spans="1:18" ht="12.75">
      <c r="A160" t="s">
        <v>35</v>
      </c>
      <c r="D160" s="18"/>
      <c r="E160" s="19"/>
      <c r="F160" s="8"/>
      <c r="G160" s="19"/>
      <c r="I160" s="18"/>
      <c r="J160" s="31"/>
      <c r="K160" s="18"/>
      <c r="L160" s="31"/>
      <c r="M160" s="18"/>
      <c r="N160" s="31"/>
      <c r="O160" s="18"/>
      <c r="P160" s="31"/>
      <c r="Q160" s="18"/>
      <c r="R160" s="31"/>
    </row>
    <row r="161" spans="4:18" ht="12.75">
      <c r="D161" s="18"/>
      <c r="E161" s="19"/>
      <c r="F161" s="8" t="s">
        <v>16</v>
      </c>
      <c r="G161" s="19"/>
      <c r="I161" s="18"/>
      <c r="J161" s="31"/>
      <c r="K161" s="18"/>
      <c r="L161" s="31"/>
      <c r="M161" s="18"/>
      <c r="N161" s="31"/>
      <c r="O161" s="18"/>
      <c r="P161" s="31"/>
      <c r="Q161" s="18"/>
      <c r="R161" s="31"/>
    </row>
    <row r="162" spans="1:18" ht="12.75">
      <c r="A162" s="11" t="s">
        <v>36</v>
      </c>
      <c r="D162" s="18">
        <v>61</v>
      </c>
      <c r="E162" s="34">
        <f>D162*1000/78497</f>
        <v>0.7770997617743354</v>
      </c>
      <c r="F162" s="8">
        <v>55</v>
      </c>
      <c r="G162" s="34">
        <f>F162*1000/78860</f>
        <v>0.697438498605123</v>
      </c>
      <c r="I162" s="18">
        <v>41</v>
      </c>
      <c r="J162" s="34">
        <f>I162*1000/(62737)</f>
        <v>0.6535218451631414</v>
      </c>
      <c r="K162" s="18">
        <v>46</v>
      </c>
      <c r="L162" s="34">
        <f>K162*1000/(70827)</f>
        <v>0.6494698349499485</v>
      </c>
      <c r="M162" s="18">
        <v>33</v>
      </c>
      <c r="N162" s="34">
        <f>M162*1000/(73636)</f>
        <v>0.44815036123635177</v>
      </c>
      <c r="O162" s="18">
        <v>46</v>
      </c>
      <c r="P162" s="34">
        <f>O162*1000/(101768)</f>
        <v>0.4520084898985929</v>
      </c>
      <c r="Q162" s="18">
        <v>51</v>
      </c>
      <c r="R162" s="34">
        <f>Q162*1000/(97639)</f>
        <v>0.5223322647712492</v>
      </c>
    </row>
    <row r="163" spans="1:18" ht="12.75">
      <c r="A163" s="11" t="s">
        <v>35</v>
      </c>
      <c r="D163" s="18"/>
      <c r="E163" s="34"/>
      <c r="F163" s="8"/>
      <c r="G163" s="34"/>
      <c r="I163" s="18"/>
      <c r="J163" s="33"/>
      <c r="K163" s="18"/>
      <c r="L163" s="33"/>
      <c r="M163" s="18"/>
      <c r="N163" s="33"/>
      <c r="O163" s="18"/>
      <c r="P163" s="33"/>
      <c r="Q163" s="18"/>
      <c r="R163" s="33"/>
    </row>
    <row r="164" spans="4:18" ht="12.75">
      <c r="D164" s="18"/>
      <c r="E164" s="34"/>
      <c r="F164" s="8"/>
      <c r="G164" s="34"/>
      <c r="I164" s="18"/>
      <c r="J164" s="33"/>
      <c r="K164" s="18"/>
      <c r="L164" s="33"/>
      <c r="M164" s="18"/>
      <c r="N164" s="33"/>
      <c r="O164" s="18"/>
      <c r="P164" s="33"/>
      <c r="Q164" s="18"/>
      <c r="R164" s="33"/>
    </row>
    <row r="165" spans="1:18" ht="12.75">
      <c r="A165" s="11" t="s">
        <v>65</v>
      </c>
      <c r="D165" s="18"/>
      <c r="E165" s="34"/>
      <c r="F165" s="8"/>
      <c r="G165" s="34"/>
      <c r="I165" s="18">
        <v>85</v>
      </c>
      <c r="J165" s="34">
        <f>I165*1000/(16500)</f>
        <v>5.151515151515151</v>
      </c>
      <c r="K165" s="18">
        <v>81</v>
      </c>
      <c r="L165" s="34">
        <f>K165*1000/(17079)</f>
        <v>4.742666432460917</v>
      </c>
      <c r="M165" s="18">
        <v>72</v>
      </c>
      <c r="N165" s="34">
        <f>M165*1000/(17713)</f>
        <v>4.0648111556483935</v>
      </c>
      <c r="O165" s="18">
        <v>102</v>
      </c>
      <c r="P165" s="34">
        <f>O165*1000/(24459)</f>
        <v>4.17024408193303</v>
      </c>
      <c r="Q165" s="18">
        <v>96</v>
      </c>
      <c r="R165" s="34">
        <f>Q165*1000/(24155)</f>
        <v>3.974332436348582</v>
      </c>
    </row>
    <row r="166" spans="4:18" ht="12.75">
      <c r="D166" s="18"/>
      <c r="E166" s="34"/>
      <c r="F166" s="8"/>
      <c r="G166" s="34"/>
      <c r="I166" s="18"/>
      <c r="J166" s="33"/>
      <c r="K166" s="18"/>
      <c r="L166" s="33"/>
      <c r="M166" s="18"/>
      <c r="N166" s="33"/>
      <c r="O166" s="18"/>
      <c r="P166" s="33"/>
      <c r="Q166" s="18"/>
      <c r="R166" s="33"/>
    </row>
    <row r="167" spans="1:18" ht="12.75">
      <c r="A167" s="11" t="s">
        <v>37</v>
      </c>
      <c r="D167" s="18">
        <v>254</v>
      </c>
      <c r="E167" s="34">
        <f>D167*1000/78490</f>
        <v>3.2360810294305007</v>
      </c>
      <c r="F167" s="8">
        <v>242</v>
      </c>
      <c r="G167" s="34">
        <f>F167*1000/78860</f>
        <v>3.068729393862541</v>
      </c>
      <c r="I167" s="18">
        <v>187</v>
      </c>
      <c r="J167" s="34">
        <f>I167*1000/(62737)</f>
        <v>2.9806971962318887</v>
      </c>
      <c r="K167" s="18">
        <v>224</v>
      </c>
      <c r="L167" s="34">
        <f>K167*1000/(70827)</f>
        <v>3.1626357180171403</v>
      </c>
      <c r="M167" s="18">
        <v>185</v>
      </c>
      <c r="N167" s="34">
        <f>M167*1000/(73636)</f>
        <v>2.512358085718942</v>
      </c>
      <c r="O167" s="18">
        <v>315</v>
      </c>
      <c r="P167" s="34">
        <f>O167*1000/(101768)</f>
        <v>3.0952755286534077</v>
      </c>
      <c r="Q167" s="18">
        <v>289</v>
      </c>
      <c r="R167" s="34">
        <f>Q167*1000/(97639)</f>
        <v>2.9598828337037455</v>
      </c>
    </row>
    <row r="168" spans="4:18" ht="12.75">
      <c r="D168" s="18"/>
      <c r="E168" s="19"/>
      <c r="F168" s="8"/>
      <c r="G168" s="19"/>
      <c r="I168" s="18"/>
      <c r="J168" s="31"/>
      <c r="K168" s="18"/>
      <c r="L168" s="31"/>
      <c r="M168" s="18"/>
      <c r="N168" s="31"/>
      <c r="O168" s="18"/>
      <c r="P168" s="31"/>
      <c r="Q168" s="18"/>
      <c r="R168" s="31"/>
    </row>
    <row r="169" spans="1:18" ht="12.75">
      <c r="A169" t="s">
        <v>38</v>
      </c>
      <c r="D169" s="18" t="s">
        <v>33</v>
      </c>
      <c r="E169" s="31" t="s">
        <v>33</v>
      </c>
      <c r="F169" s="18" t="s">
        <v>33</v>
      </c>
      <c r="G169" s="19" t="s">
        <v>33</v>
      </c>
      <c r="I169" s="18">
        <v>236</v>
      </c>
      <c r="J169" s="19">
        <f>I169*1000/(336454)</f>
        <v>0.7014331825450136</v>
      </c>
      <c r="K169" s="18">
        <v>243</v>
      </c>
      <c r="L169" s="19">
        <f>K169*1000/(349557)</f>
        <v>0.695165595310636</v>
      </c>
      <c r="M169" s="18">
        <v>245</v>
      </c>
      <c r="N169" s="19">
        <f>M169*1000/(353919)</f>
        <v>0.6922487913901203</v>
      </c>
      <c r="O169" s="18">
        <v>387</v>
      </c>
      <c r="P169" s="19">
        <f>O169*1000/(482681)</f>
        <v>0.8017717705896855</v>
      </c>
      <c r="Q169" s="18">
        <v>379</v>
      </c>
      <c r="R169" s="19">
        <f>Q169*1000/(484358)</f>
        <v>0.7824790753946461</v>
      </c>
    </row>
    <row r="170" spans="1:18" ht="12.75">
      <c r="A170" t="s">
        <v>35</v>
      </c>
      <c r="D170" s="18"/>
      <c r="E170" s="19"/>
      <c r="F170" s="8"/>
      <c r="G170" s="16"/>
      <c r="I170" s="18"/>
      <c r="J170" s="19"/>
      <c r="K170" s="18"/>
      <c r="L170" s="19"/>
      <c r="M170" s="18"/>
      <c r="N170" s="19"/>
      <c r="O170" s="18"/>
      <c r="P170" s="19"/>
      <c r="Q170" s="18"/>
      <c r="R170" s="19"/>
    </row>
    <row r="171" spans="4:18" ht="12.75">
      <c r="D171" s="18"/>
      <c r="E171" s="19"/>
      <c r="F171" s="8"/>
      <c r="G171" s="16"/>
      <c r="I171" s="18"/>
      <c r="J171" s="19"/>
      <c r="K171" s="18"/>
      <c r="L171" s="19"/>
      <c r="M171" s="18"/>
      <c r="N171" s="19"/>
      <c r="O171" s="18"/>
      <c r="P171" s="19"/>
      <c r="Q171" s="18"/>
      <c r="R171" s="19"/>
    </row>
    <row r="172" spans="1:18" ht="12.75">
      <c r="A172" t="s">
        <v>39</v>
      </c>
      <c r="D172" s="18">
        <v>24934</v>
      </c>
      <c r="E172" s="19">
        <f>D172*1000/92390</f>
        <v>269.8776923909514</v>
      </c>
      <c r="F172" s="8">
        <v>24322</v>
      </c>
      <c r="G172" s="19">
        <f>F172*1000/92390</f>
        <v>263.25359887433706</v>
      </c>
      <c r="I172" s="18">
        <v>23733</v>
      </c>
      <c r="J172" s="19">
        <f>I172*1000/(80079)</f>
        <v>296.3698347881467</v>
      </c>
      <c r="K172" s="18">
        <v>24608</v>
      </c>
      <c r="L172" s="19">
        <f>K172*1000/(87906)</f>
        <v>279.93538552544766</v>
      </c>
      <c r="M172" s="18">
        <v>24310</v>
      </c>
      <c r="N172" s="19">
        <f>M172*1000/(91349)</f>
        <v>266.12223450721956</v>
      </c>
      <c r="O172" s="18">
        <v>34293</v>
      </c>
      <c r="P172" s="19">
        <f>O172*1000/(124594)</f>
        <v>275.23797293609647</v>
      </c>
      <c r="Q172" s="18">
        <v>29761</v>
      </c>
      <c r="R172" s="19">
        <f>Q172*1000/(120186)</f>
        <v>247.62451533456476</v>
      </c>
    </row>
    <row r="173" spans="4:18" ht="12.75">
      <c r="D173" s="18"/>
      <c r="E173" s="19"/>
      <c r="F173" s="8"/>
      <c r="G173" s="19"/>
      <c r="I173" s="18"/>
      <c r="J173" s="19"/>
      <c r="K173" s="18"/>
      <c r="L173" s="19"/>
      <c r="M173" s="18"/>
      <c r="N173" s="19"/>
      <c r="O173" s="18"/>
      <c r="P173" s="19"/>
      <c r="Q173" s="18"/>
      <c r="R173" s="19"/>
    </row>
    <row r="174" spans="1:18" ht="12.75">
      <c r="A174" t="s">
        <v>40</v>
      </c>
      <c r="D174" s="18" t="s">
        <v>33</v>
      </c>
      <c r="E174" s="31" t="s">
        <v>33</v>
      </c>
      <c r="F174" s="18" t="s">
        <v>33</v>
      </c>
      <c r="G174" s="19" t="s">
        <v>33</v>
      </c>
      <c r="I174" s="18">
        <v>105745</v>
      </c>
      <c r="J174" s="19">
        <f>I174*1000/(336454)</f>
        <v>314.29259274670534</v>
      </c>
      <c r="K174" s="18">
        <v>111356</v>
      </c>
      <c r="L174" s="19">
        <f>K174*1000/(349557)</f>
        <v>318.5632100058074</v>
      </c>
      <c r="M174" s="18">
        <v>115227</v>
      </c>
      <c r="N174" s="19">
        <f>M174*1000/(353919)</f>
        <v>325.574495859222</v>
      </c>
      <c r="O174" s="18">
        <v>158205</v>
      </c>
      <c r="P174" s="19">
        <f>O174*1000/(482681)</f>
        <v>327.7630567600548</v>
      </c>
      <c r="Q174" s="18">
        <v>159778</v>
      </c>
      <c r="R174" s="19">
        <f>Q174*1000/(484358)</f>
        <v>329.87583564223155</v>
      </c>
    </row>
    <row r="175" spans="4:18" ht="12.75">
      <c r="D175" s="8"/>
      <c r="F175" s="8"/>
      <c r="I175" s="18"/>
      <c r="J175" s="19"/>
      <c r="K175" s="18"/>
      <c r="L175" s="19"/>
      <c r="M175" s="18"/>
      <c r="N175" s="19"/>
      <c r="O175" s="18"/>
      <c r="P175" s="19"/>
      <c r="Q175" s="18"/>
      <c r="R175" s="19"/>
    </row>
    <row r="176" spans="1:18" ht="12.75">
      <c r="A176" t="s">
        <v>41</v>
      </c>
      <c r="D176" s="18" t="s">
        <v>33</v>
      </c>
      <c r="E176" s="31" t="s">
        <v>33</v>
      </c>
      <c r="F176" s="18" t="s">
        <v>33</v>
      </c>
      <c r="G176" s="19" t="s">
        <v>33</v>
      </c>
      <c r="I176" s="18">
        <v>1094</v>
      </c>
      <c r="J176" s="19">
        <f>I176*1000/(161903)</f>
        <v>6.757132357028591</v>
      </c>
      <c r="K176" s="18">
        <v>1010</v>
      </c>
      <c r="L176" s="19">
        <f>K176*1000/(169792)</f>
        <v>5.94845457972107</v>
      </c>
      <c r="M176" s="18">
        <v>1127</v>
      </c>
      <c r="N176" s="19">
        <f>M176*1000/(172313)</f>
        <v>6.540423531596572</v>
      </c>
      <c r="O176" s="18">
        <v>1542</v>
      </c>
      <c r="P176" s="19">
        <f>O176*1000/(224286)</f>
        <v>6.875150477515315</v>
      </c>
      <c r="Q176" s="18">
        <v>1143</v>
      </c>
      <c r="R176" s="19">
        <f>Q176*1000/(234928)</f>
        <v>4.865320438602465</v>
      </c>
    </row>
    <row r="177" spans="4:18" ht="12.75">
      <c r="D177" s="8"/>
      <c r="F177" s="8"/>
      <c r="I177" s="18"/>
      <c r="J177" s="31"/>
      <c r="K177" s="18"/>
      <c r="L177" s="31"/>
      <c r="M177" s="18"/>
      <c r="N177" s="31"/>
      <c r="O177" s="18"/>
      <c r="P177" s="31"/>
      <c r="Q177" s="18"/>
      <c r="R177" s="31"/>
    </row>
    <row r="178" spans="1:18" ht="12.75">
      <c r="A178" t="s">
        <v>42</v>
      </c>
      <c r="D178" s="18">
        <v>741</v>
      </c>
      <c r="E178" s="19">
        <f>D178*1000/92390</f>
        <v>8.020348522567378</v>
      </c>
      <c r="F178" s="18">
        <v>618</v>
      </c>
      <c r="G178" s="19">
        <f>F178*1000/92390</f>
        <v>6.689035609914493</v>
      </c>
      <c r="I178" s="18">
        <v>653</v>
      </c>
      <c r="J178" s="19">
        <f>I178*1000/(80079)</f>
        <v>8.15444748311043</v>
      </c>
      <c r="K178" s="18">
        <v>611</v>
      </c>
      <c r="L178" s="19">
        <f>K178*1000/(87906)</f>
        <v>6.950606329488317</v>
      </c>
      <c r="M178" s="18">
        <v>575</v>
      </c>
      <c r="N178" s="19">
        <f>M178*1000/(91349)</f>
        <v>6.294540717468172</v>
      </c>
      <c r="O178" s="18">
        <v>1066</v>
      </c>
      <c r="P178" s="19">
        <f>O178*1000/(124594)</f>
        <v>8.555789203332424</v>
      </c>
      <c r="Q178" s="18">
        <v>860</v>
      </c>
      <c r="R178" s="19">
        <f>Q178*1000/(120186)</f>
        <v>7.155575524603531</v>
      </c>
    </row>
    <row r="179" spans="4:18" ht="12.75">
      <c r="D179" s="18"/>
      <c r="E179" s="31"/>
      <c r="F179" s="18"/>
      <c r="G179" s="31"/>
      <c r="I179" s="18"/>
      <c r="J179" s="31"/>
      <c r="K179" s="18"/>
      <c r="L179" s="31"/>
      <c r="M179" s="18"/>
      <c r="N179" s="31"/>
      <c r="O179" s="31"/>
      <c r="P179" s="31"/>
      <c r="Q179" s="31"/>
      <c r="R179" s="31"/>
    </row>
    <row r="180" ht="12.75">
      <c r="R180" s="31"/>
    </row>
    <row r="181" spans="4:11" ht="12.75">
      <c r="D181" s="8"/>
      <c r="F181" s="8"/>
      <c r="I181" s="8"/>
      <c r="K181" s="10"/>
    </row>
    <row r="182" spans="4:11" ht="12.75">
      <c r="D182" s="8"/>
      <c r="F182" s="8"/>
      <c r="I182" s="8"/>
      <c r="K182" s="10"/>
    </row>
    <row r="183" spans="4:11" ht="12.75">
      <c r="D183" s="8"/>
      <c r="F183" s="8"/>
      <c r="I183" s="8"/>
      <c r="K183" s="10"/>
    </row>
    <row r="184" spans="4:11" ht="12.75">
      <c r="D184" s="8"/>
      <c r="F184" s="8"/>
      <c r="I184" s="8"/>
      <c r="K184" s="10"/>
    </row>
    <row r="185" spans="1:11" ht="12.75">
      <c r="A185" t="s">
        <v>43</v>
      </c>
      <c r="D185" s="8"/>
      <c r="F185" s="8"/>
      <c r="I185" s="8"/>
      <c r="K185" s="10"/>
    </row>
    <row r="186" spans="1:11" ht="12.75">
      <c r="A186" t="s">
        <v>44</v>
      </c>
      <c r="D186" s="8"/>
      <c r="F186" s="8"/>
      <c r="I186" s="8"/>
      <c r="K186" s="10"/>
    </row>
    <row r="187" spans="1:11" ht="12.75">
      <c r="A187" t="s">
        <v>16</v>
      </c>
      <c r="D187" s="8"/>
      <c r="F187" s="8"/>
      <c r="I187" s="8"/>
      <c r="K187" s="10"/>
    </row>
    <row r="188" spans="4:11" ht="12.75">
      <c r="D188" s="8"/>
      <c r="F188" s="8"/>
      <c r="I188" s="8"/>
      <c r="K188" s="10"/>
    </row>
    <row r="189" spans="1:11" ht="12.75">
      <c r="A189" s="41"/>
      <c r="D189" s="8"/>
      <c r="F189" s="8"/>
      <c r="I189" s="8"/>
      <c r="K189" s="10"/>
    </row>
    <row r="190" spans="1:11" ht="12.75">
      <c r="A190" t="s">
        <v>89</v>
      </c>
      <c r="D190" s="8"/>
      <c r="F190" s="8"/>
      <c r="I190" s="8"/>
      <c r="K190" s="10"/>
    </row>
    <row r="191" ht="12.75">
      <c r="A191" t="s">
        <v>16</v>
      </c>
    </row>
    <row r="192" spans="1:5" ht="12.75">
      <c r="A192" s="66" t="s">
        <v>49</v>
      </c>
      <c r="B192" s="66"/>
      <c r="C192" s="66"/>
      <c r="D192" s="66"/>
      <c r="E192" s="66"/>
    </row>
    <row r="193" ht="12.75">
      <c r="A193" s="29">
        <v>40626</v>
      </c>
    </row>
  </sheetData>
  <sheetProtection/>
  <mergeCells count="21">
    <mergeCell ref="Q7:R7"/>
    <mergeCell ref="Q108:R108"/>
    <mergeCell ref="A1:I1"/>
    <mergeCell ref="I7:J7"/>
    <mergeCell ref="I105:R105"/>
    <mergeCell ref="I4:R4"/>
    <mergeCell ref="I153:R153"/>
    <mergeCell ref="O7:P7"/>
    <mergeCell ref="I52:R52"/>
    <mergeCell ref="M7:N7"/>
    <mergeCell ref="O108:P108"/>
    <mergeCell ref="Q107:R107"/>
    <mergeCell ref="K7:L7"/>
    <mergeCell ref="K108:L108"/>
    <mergeCell ref="I108:J108"/>
    <mergeCell ref="Q54:R54"/>
    <mergeCell ref="A192:E192"/>
    <mergeCell ref="M108:N108"/>
    <mergeCell ref="M155:N155"/>
    <mergeCell ref="O155:P155"/>
    <mergeCell ref="Q155:R155"/>
  </mergeCells>
  <printOptions/>
  <pageMargins left="0.75" right="0.23" top="0.97" bottom="1.37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2.7109375" style="0" customWidth="1"/>
  </cols>
  <sheetData>
    <row r="1" spans="1:13" ht="1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/>
      <c r="M3" s="10"/>
    </row>
    <row r="4" spans="1:17" ht="12.75">
      <c r="A4" s="3"/>
      <c r="D4" s="55" t="s">
        <v>68</v>
      </c>
      <c r="E4" s="4"/>
      <c r="F4" s="4"/>
      <c r="G4" s="4"/>
      <c r="I4" s="63" t="s">
        <v>69</v>
      </c>
      <c r="J4" s="62"/>
      <c r="K4" s="62"/>
      <c r="L4" s="62"/>
      <c r="M4" s="62"/>
      <c r="N4" s="62"/>
      <c r="O4" s="62"/>
      <c r="P4" s="62"/>
      <c r="Q4" s="62"/>
    </row>
    <row r="5" spans="1:12" ht="12.75">
      <c r="A5" s="3"/>
      <c r="L5" s="10"/>
    </row>
    <row r="6" spans="6:20" ht="12.75">
      <c r="F6" s="4" t="s">
        <v>1</v>
      </c>
      <c r="G6" s="4"/>
      <c r="K6" s="4" t="s">
        <v>16</v>
      </c>
      <c r="L6" s="4"/>
      <c r="Q6" s="63" t="s">
        <v>71</v>
      </c>
      <c r="R6" s="63"/>
      <c r="S6" s="59" t="s">
        <v>16</v>
      </c>
      <c r="T6" s="59"/>
    </row>
    <row r="7" spans="4:19" ht="12.75">
      <c r="D7" s="4" t="s">
        <v>45</v>
      </c>
      <c r="E7" s="4"/>
      <c r="F7" s="4" t="s">
        <v>46</v>
      </c>
      <c r="G7" s="4"/>
      <c r="I7" s="63" t="s">
        <v>51</v>
      </c>
      <c r="J7" s="63"/>
      <c r="K7" s="63" t="s">
        <v>52</v>
      </c>
      <c r="L7" s="63"/>
      <c r="M7" s="63" t="s">
        <v>83</v>
      </c>
      <c r="N7" s="63"/>
      <c r="O7" s="63" t="s">
        <v>84</v>
      </c>
      <c r="P7" s="63"/>
      <c r="Q7" s="63" t="s">
        <v>85</v>
      </c>
      <c r="R7" s="63"/>
      <c r="S7" s="5" t="s">
        <v>5</v>
      </c>
    </row>
    <row r="8" spans="1:19" ht="12.75">
      <c r="A8" s="6" t="s">
        <v>2</v>
      </c>
      <c r="D8" s="7" t="s">
        <v>6</v>
      </c>
      <c r="E8" s="7" t="s">
        <v>7</v>
      </c>
      <c r="F8" s="7" t="s">
        <v>8</v>
      </c>
      <c r="G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31</v>
      </c>
      <c r="N8" s="7" t="s">
        <v>32</v>
      </c>
      <c r="O8" s="7" t="s">
        <v>31</v>
      </c>
      <c r="P8" s="7" t="s">
        <v>32</v>
      </c>
      <c r="Q8" s="7" t="s">
        <v>31</v>
      </c>
      <c r="R8" s="7" t="s">
        <v>32</v>
      </c>
      <c r="S8" s="5" t="s">
        <v>9</v>
      </c>
    </row>
    <row r="9" spans="1:19" ht="12.75">
      <c r="A9" s="42"/>
      <c r="B9" s="42" t="s">
        <v>10</v>
      </c>
      <c r="C9" s="42"/>
      <c r="D9" s="43">
        <v>6343</v>
      </c>
      <c r="E9" s="44">
        <f>D9/D13</f>
        <v>0.6630775663809325</v>
      </c>
      <c r="F9" s="43">
        <v>6177</v>
      </c>
      <c r="G9" s="44">
        <f>F9/F13</f>
        <v>0.7090220385674931</v>
      </c>
      <c r="H9" s="42"/>
      <c r="I9" s="43">
        <v>9077</v>
      </c>
      <c r="J9" s="44">
        <f>I9/I13</f>
        <v>0.8087134711332858</v>
      </c>
      <c r="K9" s="43">
        <v>8957</v>
      </c>
      <c r="L9" s="44">
        <f>K9/K13</f>
        <v>0.7920240516402866</v>
      </c>
      <c r="M9">
        <v>9331</v>
      </c>
      <c r="N9" s="44">
        <f>M9/M13</f>
        <v>0.7997771492243079</v>
      </c>
      <c r="O9" s="8">
        <v>9302</v>
      </c>
      <c r="P9" s="44">
        <f>O9/O13</f>
        <v>0.8092214006089604</v>
      </c>
      <c r="Q9" s="8">
        <v>5806</v>
      </c>
      <c r="R9" s="44">
        <f>Q9/Q13</f>
        <v>0.659697761617998</v>
      </c>
      <c r="S9" s="57" t="s">
        <v>11</v>
      </c>
    </row>
    <row r="10" spans="2:19" ht="12.75">
      <c r="B10" t="s">
        <v>12</v>
      </c>
      <c r="D10" s="8">
        <v>2512</v>
      </c>
      <c r="E10" s="9">
        <f>D10/D13</f>
        <v>0.2625966966339118</v>
      </c>
      <c r="F10" s="8">
        <v>2007</v>
      </c>
      <c r="G10" s="9">
        <f>F10/F13</f>
        <v>0.2303719008264463</v>
      </c>
      <c r="I10" s="8">
        <v>1779</v>
      </c>
      <c r="J10" s="9">
        <f>I10/I13</f>
        <v>0.15849964362081254</v>
      </c>
      <c r="K10" s="8">
        <v>1961</v>
      </c>
      <c r="L10" s="9">
        <f>K10/K13</f>
        <v>0.17340171544787336</v>
      </c>
      <c r="M10">
        <v>1937</v>
      </c>
      <c r="N10" s="9">
        <f>M10/M13</f>
        <v>0.1660238278906317</v>
      </c>
      <c r="O10" s="8">
        <v>1787</v>
      </c>
      <c r="P10" s="9">
        <f>O10/O13</f>
        <v>0.15545889517181383</v>
      </c>
      <c r="Q10" s="8">
        <v>2357</v>
      </c>
      <c r="R10" s="9">
        <f>Q10/Q13</f>
        <v>0.2678104760822634</v>
      </c>
      <c r="S10" s="57" t="s">
        <v>11</v>
      </c>
    </row>
    <row r="11" spans="2:19" ht="12.75">
      <c r="B11" t="s">
        <v>13</v>
      </c>
      <c r="D11" s="8">
        <v>360</v>
      </c>
      <c r="E11" s="9">
        <f>D11/D13</f>
        <v>0.03763328454944596</v>
      </c>
      <c r="F11" s="8">
        <v>265</v>
      </c>
      <c r="G11" s="9">
        <f>F11/F13</f>
        <v>0.0304178145087236</v>
      </c>
      <c r="I11" s="8">
        <v>246</v>
      </c>
      <c r="J11" s="9">
        <f>I11/I13</f>
        <v>0.021917320028510334</v>
      </c>
      <c r="K11" s="8">
        <v>293</v>
      </c>
      <c r="L11" s="9">
        <f>K11/K13</f>
        <v>0.025908568396852065</v>
      </c>
      <c r="M11">
        <v>295</v>
      </c>
      <c r="N11" s="9">
        <f>M11/M13</f>
        <v>0.025284991857375504</v>
      </c>
      <c r="O11" s="8">
        <v>284</v>
      </c>
      <c r="P11" s="9">
        <f>O11/O13</f>
        <v>0.024706394084384516</v>
      </c>
      <c r="Q11" s="8">
        <v>461</v>
      </c>
      <c r="R11" s="9">
        <f>Q11/Q13</f>
        <v>0.05238041131689581</v>
      </c>
      <c r="S11" s="57" t="s">
        <v>11</v>
      </c>
    </row>
    <row r="12" spans="2:19" ht="12.75">
      <c r="B12" s="11" t="s">
        <v>15</v>
      </c>
      <c r="C12" s="11"/>
      <c r="D12" s="12">
        <v>351</v>
      </c>
      <c r="E12" s="13">
        <f>D12/D13</f>
        <v>0.03669245243570981</v>
      </c>
      <c r="F12" s="12">
        <v>263</v>
      </c>
      <c r="G12" s="13">
        <f>F12/F13</f>
        <v>0.030188246097337005</v>
      </c>
      <c r="H12" s="11" t="s">
        <v>16</v>
      </c>
      <c r="I12" s="12">
        <v>122</v>
      </c>
      <c r="J12" s="13">
        <f>I12/I13</f>
        <v>0.010869565217391304</v>
      </c>
      <c r="K12" s="12">
        <v>98</v>
      </c>
      <c r="L12" s="13">
        <f>K12/K13</f>
        <v>0.008665664514988063</v>
      </c>
      <c r="M12">
        <v>104</v>
      </c>
      <c r="N12" s="13">
        <f>M12/M13</f>
        <v>0.008914031027684923</v>
      </c>
      <c r="O12" s="8">
        <v>122</v>
      </c>
      <c r="P12" s="13">
        <f>O12/O13</f>
        <v>0.010613310134841234</v>
      </c>
      <c r="Q12" s="8">
        <v>177</v>
      </c>
      <c r="R12" s="13">
        <f>Q12/Q13</f>
        <v>0.02011135098284286</v>
      </c>
      <c r="S12" s="57" t="s">
        <v>11</v>
      </c>
    </row>
    <row r="13" spans="2:19" ht="12.75">
      <c r="B13" t="s">
        <v>17</v>
      </c>
      <c r="D13" s="8">
        <v>9566</v>
      </c>
      <c r="E13" s="9"/>
      <c r="F13" s="8">
        <f>SUM(F9:F12)</f>
        <v>8712</v>
      </c>
      <c r="G13" s="9"/>
      <c r="I13" s="8">
        <f>SUM(I9:I12)</f>
        <v>11224</v>
      </c>
      <c r="K13" s="8">
        <f>SUM(K9:K12)</f>
        <v>11309</v>
      </c>
      <c r="M13" s="8">
        <f>SUM(M9:M12)</f>
        <v>11667</v>
      </c>
      <c r="O13" s="8">
        <f>SUM(O9:O12)</f>
        <v>11495</v>
      </c>
      <c r="Q13" s="8">
        <f>SUM(Q9:Q12)</f>
        <v>8801</v>
      </c>
      <c r="S13" s="10"/>
    </row>
    <row r="14" spans="4:19" ht="12.75">
      <c r="D14" s="8"/>
      <c r="E14" t="s">
        <v>16</v>
      </c>
      <c r="F14" s="8"/>
      <c r="O14" s="8"/>
      <c r="Q14" s="8"/>
      <c r="S14" s="10"/>
    </row>
    <row r="15" spans="1:19" ht="12.75">
      <c r="A15" s="14" t="s">
        <v>18</v>
      </c>
      <c r="B15" s="11"/>
      <c r="C15" s="11"/>
      <c r="D15" s="12">
        <v>3055</v>
      </c>
      <c r="E15" s="13">
        <v>0.321</v>
      </c>
      <c r="F15" s="12">
        <v>2412</v>
      </c>
      <c r="G15" s="13">
        <v>0.279</v>
      </c>
      <c r="H15" s="11"/>
      <c r="I15" s="11">
        <v>1852</v>
      </c>
      <c r="J15" s="13">
        <v>0.17041</v>
      </c>
      <c r="K15" s="11">
        <v>2070</v>
      </c>
      <c r="L15" s="13">
        <v>0.18993</v>
      </c>
      <c r="M15" s="11">
        <v>2033</v>
      </c>
      <c r="N15" s="13">
        <v>0.18218</v>
      </c>
      <c r="O15" s="12">
        <v>2042</v>
      </c>
      <c r="P15" s="13">
        <v>0.1819</v>
      </c>
      <c r="Q15" s="12">
        <v>2352</v>
      </c>
      <c r="R15" s="13">
        <v>0.27025</v>
      </c>
      <c r="S15" s="56" t="s">
        <v>11</v>
      </c>
    </row>
    <row r="16" spans="4:19" ht="12.75">
      <c r="D16" s="8"/>
      <c r="F16" s="8"/>
      <c r="G16" t="s">
        <v>16</v>
      </c>
      <c r="O16" s="8"/>
      <c r="Q16" s="8"/>
      <c r="S16" s="10"/>
    </row>
    <row r="17" spans="1:19" ht="12.75">
      <c r="A17" s="6" t="s">
        <v>19</v>
      </c>
      <c r="D17" s="8"/>
      <c r="F17" s="8"/>
      <c r="O17" s="8"/>
      <c r="Q17" s="8"/>
      <c r="S17" s="10"/>
    </row>
    <row r="18" spans="2:19" ht="12.75">
      <c r="B18" s="53" t="s">
        <v>53</v>
      </c>
      <c r="D18" s="8">
        <v>163</v>
      </c>
      <c r="E18" s="9">
        <f>D18/D21</f>
        <v>0.016928029909647938</v>
      </c>
      <c r="F18" s="8">
        <v>171</v>
      </c>
      <c r="G18" s="9">
        <f>F18/F21</f>
        <v>0.01893687707641196</v>
      </c>
      <c r="I18" s="8">
        <v>225</v>
      </c>
      <c r="J18" s="9">
        <f>I18/I21</f>
        <v>0.01972818939061815</v>
      </c>
      <c r="K18" s="8">
        <v>260</v>
      </c>
      <c r="L18" s="9">
        <f>K18/K21</f>
        <v>0.022456382794955952</v>
      </c>
      <c r="M18">
        <v>230</v>
      </c>
      <c r="N18" s="9">
        <f>M18/M21</f>
        <v>0.01936842105263158</v>
      </c>
      <c r="O18" s="8">
        <v>255</v>
      </c>
      <c r="P18" s="9">
        <f>O18/O21</f>
        <v>0.021894049969949342</v>
      </c>
      <c r="Q18" s="8">
        <v>170</v>
      </c>
      <c r="R18" s="9">
        <f>Q18/Q21</f>
        <v>0.017964704639120786</v>
      </c>
      <c r="S18" s="56" t="s">
        <v>11</v>
      </c>
    </row>
    <row r="19" spans="2:19" ht="12.75">
      <c r="B19" s="53" t="s">
        <v>54</v>
      </c>
      <c r="D19" s="8">
        <v>910</v>
      </c>
      <c r="E19" s="9">
        <f>D19/D21</f>
        <v>0.09450617925018175</v>
      </c>
      <c r="F19" s="8">
        <v>812</v>
      </c>
      <c r="G19" s="9">
        <f>F19/F21</f>
        <v>0.08992248062015504</v>
      </c>
      <c r="I19" s="8">
        <v>963</v>
      </c>
      <c r="J19" s="9">
        <f>I19/I21</f>
        <v>0.08443665059184569</v>
      </c>
      <c r="K19" s="8">
        <v>1008</v>
      </c>
      <c r="L19" s="9">
        <f>K19/K21</f>
        <v>0.08706166868198308</v>
      </c>
      <c r="M19">
        <v>980</v>
      </c>
      <c r="N19" s="9">
        <f>M19/M21</f>
        <v>0.08252631578947368</v>
      </c>
      <c r="O19" s="8">
        <v>1061</v>
      </c>
      <c r="P19" s="9">
        <f>O19/O21</f>
        <v>0.09109641967888726</v>
      </c>
      <c r="Q19" s="8">
        <v>932</v>
      </c>
      <c r="R19" s="9">
        <f>Q19/Q21</f>
        <v>0.09848885131565042</v>
      </c>
      <c r="S19" s="56" t="s">
        <v>14</v>
      </c>
    </row>
    <row r="20" spans="2:19" ht="12.75">
      <c r="B20" t="s">
        <v>20</v>
      </c>
      <c r="D20" s="8">
        <v>8556</v>
      </c>
      <c r="E20" s="9">
        <f>D20/D21</f>
        <v>0.8885657908401703</v>
      </c>
      <c r="F20" s="8">
        <v>8045</v>
      </c>
      <c r="G20" s="9">
        <f>F20/F21</f>
        <v>0.8909191583610189</v>
      </c>
      <c r="I20" s="8">
        <v>10213</v>
      </c>
      <c r="J20" s="9">
        <f>I20/I21</f>
        <v>0.8954844366505919</v>
      </c>
      <c r="K20" s="8">
        <v>10304</v>
      </c>
      <c r="L20" s="9">
        <f>K20/K21</f>
        <v>0.8899637243047158</v>
      </c>
      <c r="M20">
        <v>10665</v>
      </c>
      <c r="N20" s="9">
        <f>M20/M21</f>
        <v>0.8981052631578947</v>
      </c>
      <c r="O20" s="8">
        <v>10329</v>
      </c>
      <c r="P20" s="9">
        <f>O20/O21</f>
        <v>0.8868378123121834</v>
      </c>
      <c r="Q20" s="8">
        <v>8357</v>
      </c>
      <c r="R20" s="9">
        <f>Q20/Q21</f>
        <v>0.8831237451125435</v>
      </c>
      <c r="S20" s="56" t="s">
        <v>14</v>
      </c>
    </row>
    <row r="21" spans="2:19" ht="12.75">
      <c r="B21" t="s">
        <v>17</v>
      </c>
      <c r="D21" s="8">
        <f>SUM(D18:D20)</f>
        <v>9629</v>
      </c>
      <c r="E21" s="9"/>
      <c r="F21" s="8">
        <v>9030</v>
      </c>
      <c r="G21" s="9"/>
      <c r="I21" s="8">
        <v>11405</v>
      </c>
      <c r="K21" s="8">
        <v>11578</v>
      </c>
      <c r="M21" s="8">
        <v>11875</v>
      </c>
      <c r="O21" s="8">
        <v>11647</v>
      </c>
      <c r="Q21" s="8">
        <v>9463</v>
      </c>
      <c r="S21" s="10"/>
    </row>
    <row r="22" spans="4:19" ht="12.75">
      <c r="D22" s="8"/>
      <c r="E22" s="9"/>
      <c r="F22" s="8"/>
      <c r="G22" s="9"/>
      <c r="I22" s="8"/>
      <c r="K22" s="8"/>
      <c r="O22" s="8"/>
      <c r="Q22" s="8"/>
      <c r="S22" s="10"/>
    </row>
    <row r="23" spans="1:19" ht="12.75">
      <c r="A23" s="14" t="s">
        <v>21</v>
      </c>
      <c r="B23" s="11"/>
      <c r="C23" s="11"/>
      <c r="D23" s="12">
        <f>SUM(D18:D19)</f>
        <v>1073</v>
      </c>
      <c r="E23" s="13">
        <f>D23/D21</f>
        <v>0.11143420915982968</v>
      </c>
      <c r="F23" s="12">
        <f>SUM(F18:F19)</f>
        <v>983</v>
      </c>
      <c r="G23" s="13">
        <f>F23/F21</f>
        <v>0.108859357696567</v>
      </c>
      <c r="H23" s="11"/>
      <c r="I23" s="12">
        <f>SUM(I18:I19)</f>
        <v>1188</v>
      </c>
      <c r="J23" s="13">
        <f>I23/I21</f>
        <v>0.10416483998246383</v>
      </c>
      <c r="K23" s="12">
        <f>SUM(K18:K19)</f>
        <v>1268</v>
      </c>
      <c r="L23" s="13">
        <f>K23/K21</f>
        <v>0.10951805147693902</v>
      </c>
      <c r="M23" s="12">
        <f>SUM(M18:M19)</f>
        <v>1210</v>
      </c>
      <c r="N23" s="13">
        <f>M23/M21</f>
        <v>0.10189473684210526</v>
      </c>
      <c r="O23" s="12">
        <f>SUM(O18:O19)</f>
        <v>1316</v>
      </c>
      <c r="P23" s="13">
        <f>O23/O21</f>
        <v>0.1129904696488366</v>
      </c>
      <c r="Q23" s="12">
        <f>SUM(Q18:Q19)</f>
        <v>1102</v>
      </c>
      <c r="R23" s="13">
        <f>Q23/Q21</f>
        <v>0.11645355595477122</v>
      </c>
      <c r="S23" s="15" t="s">
        <v>14</v>
      </c>
    </row>
    <row r="24" spans="1:19" ht="12.75">
      <c r="A24" s="14"/>
      <c r="B24" s="11"/>
      <c r="C24" s="11"/>
      <c r="D24" s="12"/>
      <c r="E24" s="13"/>
      <c r="F24" s="12"/>
      <c r="G24" s="13"/>
      <c r="H24" s="11"/>
      <c r="I24" s="12"/>
      <c r="J24" s="13"/>
      <c r="K24" s="12"/>
      <c r="L24" s="13"/>
      <c r="O24" s="8"/>
      <c r="Q24" s="8"/>
      <c r="S24" s="15"/>
    </row>
    <row r="25" spans="1:19" ht="12.75">
      <c r="A25" s="54" t="s">
        <v>57</v>
      </c>
      <c r="B25" s="11"/>
      <c r="C25" s="11"/>
      <c r="D25" s="12"/>
      <c r="E25" s="13"/>
      <c r="F25" s="12"/>
      <c r="G25" s="13"/>
      <c r="H25" s="11"/>
      <c r="I25" s="12"/>
      <c r="J25" s="13"/>
      <c r="K25" s="12"/>
      <c r="L25" s="13"/>
      <c r="O25" s="8"/>
      <c r="Q25" s="8"/>
      <c r="S25" s="15"/>
    </row>
    <row r="26" spans="1:19" ht="12.75">
      <c r="A26" s="14"/>
      <c r="B26" s="54" t="s">
        <v>55</v>
      </c>
      <c r="C26" s="11"/>
      <c r="D26" s="12">
        <v>438</v>
      </c>
      <c r="E26" s="13">
        <f>D26/11572</f>
        <v>0.03784998271690287</v>
      </c>
      <c r="F26" s="12">
        <v>404</v>
      </c>
      <c r="G26" s="13">
        <f>F26/11572</f>
        <v>0.03491185620463187</v>
      </c>
      <c r="H26" s="11"/>
      <c r="I26" s="12">
        <v>391</v>
      </c>
      <c r="J26" s="13">
        <f>I26/11572</f>
        <v>0.03378845489111649</v>
      </c>
      <c r="K26" s="12">
        <v>439</v>
      </c>
      <c r="L26" s="13">
        <f>K26/11572</f>
        <v>0.0379363982025579</v>
      </c>
      <c r="M26">
        <v>391</v>
      </c>
      <c r="N26" s="13">
        <f>M26/M21</f>
        <v>0.032926315789473685</v>
      </c>
      <c r="O26" s="8">
        <v>389</v>
      </c>
      <c r="P26" s="13">
        <f>O26/O21</f>
        <v>0.033399158581608995</v>
      </c>
      <c r="Q26" s="8">
        <v>344</v>
      </c>
      <c r="R26" s="13">
        <f>Q26/9568</f>
        <v>0.03595317725752508</v>
      </c>
      <c r="S26" s="58" t="s">
        <v>14</v>
      </c>
    </row>
    <row r="27" spans="1:19" ht="12.75">
      <c r="A27" s="14"/>
      <c r="B27" s="54" t="s">
        <v>56</v>
      </c>
      <c r="C27" s="11"/>
      <c r="D27" s="12">
        <v>1307</v>
      </c>
      <c r="E27" s="13">
        <f>D27/11572</f>
        <v>0.1129450397511234</v>
      </c>
      <c r="F27" s="12">
        <v>1111</v>
      </c>
      <c r="G27" s="13">
        <f>F27/11572</f>
        <v>0.09600760456273764</v>
      </c>
      <c r="H27" s="11"/>
      <c r="I27" s="12">
        <v>1434</v>
      </c>
      <c r="J27" s="13">
        <f>I27/11572</f>
        <v>0.12391980642931213</v>
      </c>
      <c r="K27" s="12">
        <v>1488</v>
      </c>
      <c r="L27" s="13">
        <f>K27/11572</f>
        <v>0.1285862426546837</v>
      </c>
      <c r="M27">
        <v>1435</v>
      </c>
      <c r="N27" s="13">
        <f>M27/M21</f>
        <v>0.12084210526315789</v>
      </c>
      <c r="O27" s="8">
        <v>1497</v>
      </c>
      <c r="P27" s="13">
        <f>O27/O21</f>
        <v>0.12853095217652613</v>
      </c>
      <c r="Q27" s="8">
        <v>1112</v>
      </c>
      <c r="R27" s="13">
        <f>Q27/9568</f>
        <v>0.11622073578595318</v>
      </c>
      <c r="S27" s="58" t="s">
        <v>11</v>
      </c>
    </row>
    <row r="28" spans="4:19" ht="12.75">
      <c r="D28" s="8"/>
      <c r="F28" s="8"/>
      <c r="O28" s="8"/>
      <c r="Q28" s="8"/>
      <c r="S28" s="10"/>
    </row>
    <row r="29" spans="1:19" ht="12.75">
      <c r="A29" s="6" t="s">
        <v>22</v>
      </c>
      <c r="D29" s="8"/>
      <c r="F29" s="8"/>
      <c r="O29" s="8"/>
      <c r="Q29" s="8"/>
      <c r="S29" s="10"/>
    </row>
    <row r="30" spans="2:19" ht="12.75">
      <c r="B30" s="11" t="s">
        <v>23</v>
      </c>
      <c r="C30" s="11"/>
      <c r="D30" s="12">
        <v>1650</v>
      </c>
      <c r="E30" s="13">
        <f>D30/D21</f>
        <v>0.17135735798109877</v>
      </c>
      <c r="F30" s="12">
        <v>1476</v>
      </c>
      <c r="G30" s="13">
        <f>F30/F21</f>
        <v>0.16345514950166112</v>
      </c>
      <c r="H30" s="11"/>
      <c r="I30" s="12">
        <v>3423</v>
      </c>
      <c r="J30" s="13">
        <f>I30/I21</f>
        <v>0.3001315212626041</v>
      </c>
      <c r="K30" s="12">
        <v>3411</v>
      </c>
      <c r="L30" s="13">
        <f>K30/K21</f>
        <v>0.29461046812921055</v>
      </c>
      <c r="M30" s="12">
        <v>3773</v>
      </c>
      <c r="N30" s="13">
        <f>M30/M21</f>
        <v>0.3177263157894737</v>
      </c>
      <c r="O30" s="12">
        <v>3776</v>
      </c>
      <c r="P30" s="13">
        <f>O30/O21</f>
        <v>0.32420365759423025</v>
      </c>
      <c r="Q30" s="12">
        <v>2842</v>
      </c>
      <c r="R30" s="13">
        <f>Q30/Q21</f>
        <v>0.300327591672831</v>
      </c>
      <c r="S30" s="58" t="s">
        <v>11</v>
      </c>
    </row>
    <row r="31" spans="2:19" ht="12.75">
      <c r="B31" t="s">
        <v>24</v>
      </c>
      <c r="D31" s="8">
        <v>392</v>
      </c>
      <c r="E31" s="9">
        <f>D31/967</f>
        <v>0.40537745604963804</v>
      </c>
      <c r="F31" s="8">
        <v>314</v>
      </c>
      <c r="G31" s="9">
        <f>314/851</f>
        <v>0.3689776733254994</v>
      </c>
      <c r="I31" s="8">
        <v>134</v>
      </c>
      <c r="J31" s="9">
        <f>I31/1492</f>
        <v>0.08981233243967829</v>
      </c>
      <c r="K31" s="8">
        <v>111</v>
      </c>
      <c r="L31" s="9">
        <v>0.07768</v>
      </c>
      <c r="M31" s="8">
        <v>159</v>
      </c>
      <c r="N31" s="9">
        <v>0.094982</v>
      </c>
      <c r="O31" s="8">
        <v>143</v>
      </c>
      <c r="P31" s="9">
        <v>0.085989</v>
      </c>
      <c r="Q31" s="8">
        <v>164</v>
      </c>
      <c r="R31" s="9">
        <v>0.14162</v>
      </c>
      <c r="S31" s="15" t="s">
        <v>11</v>
      </c>
    </row>
    <row r="32" spans="4:19" ht="12.75">
      <c r="D32" s="8"/>
      <c r="F32" s="8"/>
      <c r="I32" s="8"/>
      <c r="K32" s="8"/>
      <c r="M32" s="8"/>
      <c r="O32" s="8"/>
      <c r="Q32" s="8"/>
      <c r="S32" s="10"/>
    </row>
    <row r="33" spans="1:19" ht="12.75">
      <c r="A33" s="53" t="s">
        <v>63</v>
      </c>
      <c r="B33" s="11"/>
      <c r="C33" s="11"/>
      <c r="D33">
        <v>1822</v>
      </c>
      <c r="E33" s="9">
        <v>0.1741</v>
      </c>
      <c r="F33">
        <v>1676</v>
      </c>
      <c r="G33" s="9">
        <v>0.17603</v>
      </c>
      <c r="I33">
        <v>2784</v>
      </c>
      <c r="J33" s="9">
        <v>0.25626</v>
      </c>
      <c r="K33" s="8">
        <v>2793</v>
      </c>
      <c r="L33" s="9">
        <v>0.25363</v>
      </c>
      <c r="M33" s="8">
        <v>2916</v>
      </c>
      <c r="N33" s="9">
        <v>0.25964</v>
      </c>
      <c r="O33" s="8">
        <v>2875</v>
      </c>
      <c r="P33" s="9">
        <v>0.26834</v>
      </c>
      <c r="Q33" s="8">
        <v>2518</v>
      </c>
      <c r="R33" s="9">
        <v>0.27032</v>
      </c>
      <c r="S33" s="56" t="s">
        <v>14</v>
      </c>
    </row>
    <row r="34" spans="15:17" ht="12.75">
      <c r="O34" s="8"/>
      <c r="Q34" s="8"/>
    </row>
    <row r="35" spans="1:19" ht="12.75">
      <c r="A35" s="14" t="s">
        <v>25</v>
      </c>
      <c r="B35" s="11"/>
      <c r="C35" s="11"/>
      <c r="D35" s="12">
        <v>2644</v>
      </c>
      <c r="E35" s="13">
        <f>D35/D21</f>
        <v>0.2745871845466819</v>
      </c>
      <c r="F35" s="12">
        <v>2389</v>
      </c>
      <c r="G35" s="13">
        <f>F35/F21</f>
        <v>0.264562569213732</v>
      </c>
      <c r="H35" s="11"/>
      <c r="I35" s="12">
        <v>2954</v>
      </c>
      <c r="J35" s="13">
        <f>I35/I21</f>
        <v>0.25900920648838227</v>
      </c>
      <c r="K35" s="12">
        <v>2818</v>
      </c>
      <c r="L35" s="13">
        <f>K35/K21</f>
        <v>0.2433926412160995</v>
      </c>
      <c r="M35" s="12">
        <v>2866</v>
      </c>
      <c r="N35" s="13">
        <f>M35/M21</f>
        <v>0.24134736842105264</v>
      </c>
      <c r="O35" s="12">
        <v>2718</v>
      </c>
      <c r="P35" s="13">
        <f>O35/O21</f>
        <v>0.233364814973813</v>
      </c>
      <c r="Q35" s="12">
        <v>2563</v>
      </c>
      <c r="R35" s="13">
        <f>Q35/Q21</f>
        <v>0.2708443411180387</v>
      </c>
      <c r="S35" s="58" t="s">
        <v>11</v>
      </c>
    </row>
    <row r="36" spans="1:19" ht="12.75">
      <c r="A36" s="6"/>
      <c r="D36" s="8"/>
      <c r="E36" s="9" t="s">
        <v>16</v>
      </c>
      <c r="F36" s="8"/>
      <c r="G36" s="9" t="s">
        <v>16</v>
      </c>
      <c r="I36" s="8" t="s">
        <v>16</v>
      </c>
      <c r="K36" s="8" t="s">
        <v>16</v>
      </c>
      <c r="M36" s="8" t="s">
        <v>16</v>
      </c>
      <c r="O36" s="8" t="s">
        <v>16</v>
      </c>
      <c r="Q36" s="8" t="s">
        <v>16</v>
      </c>
      <c r="S36" s="10"/>
    </row>
    <row r="37" spans="1:19" ht="12.75">
      <c r="A37" s="14" t="s">
        <v>26</v>
      </c>
      <c r="D37" s="12">
        <v>1267</v>
      </c>
      <c r="E37" s="13">
        <v>0.22759</v>
      </c>
      <c r="F37" s="12">
        <v>818</v>
      </c>
      <c r="G37" s="13">
        <v>0.169</v>
      </c>
      <c r="H37" s="11"/>
      <c r="I37" s="12">
        <v>960</v>
      </c>
      <c r="J37" s="13">
        <v>0.15758</v>
      </c>
      <c r="K37" s="12">
        <v>1026</v>
      </c>
      <c r="L37" s="13">
        <v>0.1665</v>
      </c>
      <c r="M37" s="12">
        <v>1058</v>
      </c>
      <c r="N37" s="13">
        <v>0.16836</v>
      </c>
      <c r="O37" s="12">
        <v>1017</v>
      </c>
      <c r="P37" s="13">
        <v>0.16558</v>
      </c>
      <c r="Q37" s="12">
        <v>693</v>
      </c>
      <c r="R37" s="13">
        <v>0.15111</v>
      </c>
      <c r="S37" s="15" t="s">
        <v>14</v>
      </c>
    </row>
    <row r="38" spans="1:19" ht="12.75">
      <c r="A38" s="6"/>
      <c r="D38" s="8"/>
      <c r="E38" s="9"/>
      <c r="F38" s="8"/>
      <c r="G38" s="9"/>
      <c r="O38" s="8"/>
      <c r="Q38" s="8"/>
      <c r="S38" s="10"/>
    </row>
    <row r="39" spans="1:19" ht="12.75">
      <c r="A39" s="6" t="s">
        <v>27</v>
      </c>
      <c r="B39" s="11"/>
      <c r="C39" s="11"/>
      <c r="D39" s="8">
        <v>1065</v>
      </c>
      <c r="E39" s="9">
        <f>D39/D21</f>
        <v>0.11060338560598193</v>
      </c>
      <c r="F39" s="8">
        <v>956</v>
      </c>
      <c r="G39" s="9">
        <f>F39/F21</f>
        <v>0.10586932447397564</v>
      </c>
      <c r="I39" s="8">
        <v>685</v>
      </c>
      <c r="J39" s="9">
        <f>I39/I21</f>
        <v>0.06006137658921526</v>
      </c>
      <c r="K39" s="8">
        <v>656</v>
      </c>
      <c r="L39" s="9">
        <f>K39/K21</f>
        <v>0.056659181205735015</v>
      </c>
      <c r="M39" s="8">
        <v>675</v>
      </c>
      <c r="N39" s="9">
        <f>M39/M21</f>
        <v>0.056842105263157895</v>
      </c>
      <c r="O39" s="8">
        <v>587</v>
      </c>
      <c r="P39" s="9">
        <f>O39/O21</f>
        <v>0.05039924444062849</v>
      </c>
      <c r="Q39" s="8">
        <v>534</v>
      </c>
      <c r="R39" s="9">
        <f>Q39/Q21</f>
        <v>0.05643030751347353</v>
      </c>
      <c r="S39" s="10" t="s">
        <v>14</v>
      </c>
    </row>
    <row r="40" spans="1:19" ht="12.75">
      <c r="A40" s="6"/>
      <c r="B40" s="11"/>
      <c r="C40" s="11"/>
      <c r="D40" s="8"/>
      <c r="E40" s="9"/>
      <c r="F40" s="8"/>
      <c r="G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10"/>
    </row>
    <row r="41" spans="1:19" ht="12.75">
      <c r="A41" s="53" t="s">
        <v>64</v>
      </c>
      <c r="B41" s="11"/>
      <c r="C41" s="11"/>
      <c r="D41" s="8">
        <v>407</v>
      </c>
      <c r="E41" s="9">
        <f>D41/D21</f>
        <v>0.042268148302004364</v>
      </c>
      <c r="F41" s="8">
        <v>423</v>
      </c>
      <c r="G41" s="9">
        <f>F41/F21</f>
        <v>0.046843853820598004</v>
      </c>
      <c r="I41" s="8">
        <v>559</v>
      </c>
      <c r="J41" s="9">
        <f>I41/I21</f>
        <v>0.049013590530469095</v>
      </c>
      <c r="K41" s="8">
        <v>596</v>
      </c>
      <c r="L41" s="9">
        <f>K41/K21</f>
        <v>0.05147693902228364</v>
      </c>
      <c r="M41" s="8">
        <v>595</v>
      </c>
      <c r="N41" s="9">
        <f>M41/M21</f>
        <v>0.050105263157894736</v>
      </c>
      <c r="O41" s="8">
        <v>636</v>
      </c>
      <c r="P41" s="9">
        <f>O41/O21</f>
        <v>0.05460633639563836</v>
      </c>
      <c r="Q41" s="8">
        <v>500</v>
      </c>
      <c r="R41" s="9">
        <f>Q41/Q21</f>
        <v>0.05283736658564937</v>
      </c>
      <c r="S41" s="56" t="s">
        <v>14</v>
      </c>
    </row>
    <row r="42" spans="4:19" ht="12.75">
      <c r="D42" s="8"/>
      <c r="E42" t="s">
        <v>16</v>
      </c>
      <c r="F42" s="8"/>
      <c r="I42" s="8" t="s">
        <v>16</v>
      </c>
      <c r="K42" s="8" t="s">
        <v>16</v>
      </c>
      <c r="M42" s="8" t="s">
        <v>16</v>
      </c>
      <c r="O42" s="8" t="s">
        <v>16</v>
      </c>
      <c r="Q42" s="8" t="s">
        <v>16</v>
      </c>
      <c r="S42" s="10"/>
    </row>
    <row r="43" spans="1:19" ht="12.75">
      <c r="A43" s="11" t="s">
        <v>28</v>
      </c>
      <c r="D43" s="12">
        <v>814</v>
      </c>
      <c r="E43" s="13">
        <f>D43/D21</f>
        <v>0.08453629660400873</v>
      </c>
      <c r="F43" s="12">
        <v>656</v>
      </c>
      <c r="G43" s="13">
        <f>F43/F21</f>
        <v>0.0726467331118494</v>
      </c>
      <c r="H43" s="15"/>
      <c r="I43" s="12">
        <v>425</v>
      </c>
      <c r="J43" s="13">
        <f>I43/I21</f>
        <v>0.037264357737834285</v>
      </c>
      <c r="K43" s="12">
        <v>423</v>
      </c>
      <c r="L43" s="13">
        <f>K43/K21</f>
        <v>0.03653480739333218</v>
      </c>
      <c r="M43" s="12">
        <v>461</v>
      </c>
      <c r="N43" s="13">
        <f>M43/M21</f>
        <v>0.03882105263157895</v>
      </c>
      <c r="O43" s="12">
        <v>398</v>
      </c>
      <c r="P43" s="13">
        <f>O43/O21</f>
        <v>0.03417188975701897</v>
      </c>
      <c r="Q43" s="12">
        <v>310</v>
      </c>
      <c r="R43" s="13">
        <f>Q43/Q21</f>
        <v>0.03275916728310261</v>
      </c>
      <c r="S43" s="15" t="s">
        <v>14</v>
      </c>
    </row>
    <row r="44" spans="4:19" ht="12.75">
      <c r="D44" s="8"/>
      <c r="E44" s="9"/>
      <c r="F44" s="8"/>
      <c r="G44" s="9"/>
      <c r="H44" s="10"/>
      <c r="I44" s="8"/>
      <c r="J44" s="9"/>
      <c r="K44" s="8"/>
      <c r="L44" s="9"/>
      <c r="M44" s="8"/>
      <c r="N44" s="9"/>
      <c r="O44" s="8"/>
      <c r="P44" s="9"/>
      <c r="Q44" s="8"/>
      <c r="R44" s="9"/>
      <c r="S44" s="10"/>
    </row>
    <row r="45" spans="1:19" ht="12.75">
      <c r="A45" s="11" t="s">
        <v>29</v>
      </c>
      <c r="B45" s="11"/>
      <c r="C45" s="11"/>
      <c r="D45" s="12">
        <v>7217</v>
      </c>
      <c r="E45" s="13">
        <f>D45/D21</f>
        <v>0.7495066985149029</v>
      </c>
      <c r="F45" s="12">
        <v>6820</v>
      </c>
      <c r="G45" s="13">
        <f>F45/F21</f>
        <v>0.7552602436323367</v>
      </c>
      <c r="H45" s="11"/>
      <c r="I45" s="12">
        <v>8193</v>
      </c>
      <c r="J45" s="13">
        <f>I45/I21</f>
        <v>0.7183691363437089</v>
      </c>
      <c r="K45" s="12">
        <v>8172</v>
      </c>
      <c r="L45" s="13">
        <f>K45/K21</f>
        <v>0.7058213853860771</v>
      </c>
      <c r="M45" s="12">
        <v>8451</v>
      </c>
      <c r="N45" s="13">
        <f>M45/M21</f>
        <v>0.7116631578947369</v>
      </c>
      <c r="O45" s="12">
        <v>8197</v>
      </c>
      <c r="P45" s="13">
        <f>O45/O21</f>
        <v>0.7037863827595089</v>
      </c>
      <c r="Q45" s="12">
        <v>7135</v>
      </c>
      <c r="R45" s="13">
        <f>Q45/Q21</f>
        <v>0.7539892211772166</v>
      </c>
      <c r="S45" s="58" t="s">
        <v>11</v>
      </c>
    </row>
    <row r="46" spans="1:19" ht="12.75">
      <c r="A46" s="11"/>
      <c r="D46" s="12"/>
      <c r="E46" s="13"/>
      <c r="F46" s="12"/>
      <c r="G46" s="13"/>
      <c r="H46" s="11"/>
      <c r="I46" s="11"/>
      <c r="J46" s="13"/>
      <c r="K46" s="11"/>
      <c r="L46" s="13"/>
      <c r="M46" s="11"/>
      <c r="N46" s="13"/>
      <c r="O46" s="12"/>
      <c r="P46" s="13"/>
      <c r="Q46" s="12"/>
      <c r="R46" s="13"/>
      <c r="S46" s="15"/>
    </row>
    <row r="47" spans="1:19" ht="12.75">
      <c r="A47" s="11" t="s">
        <v>47</v>
      </c>
      <c r="D47" s="12">
        <v>26</v>
      </c>
      <c r="E47" s="13">
        <v>0.15950920245398773</v>
      </c>
      <c r="F47" s="12">
        <v>32</v>
      </c>
      <c r="G47" s="13">
        <v>0.1871345029239766</v>
      </c>
      <c r="H47" s="11"/>
      <c r="I47" s="11">
        <v>18</v>
      </c>
      <c r="J47" s="13">
        <f>18/224</f>
        <v>0.08035714285714286</v>
      </c>
      <c r="K47" s="11">
        <v>36</v>
      </c>
      <c r="L47" s="13">
        <f>36/260</f>
        <v>0.13846153846153847</v>
      </c>
      <c r="M47" s="11">
        <v>33</v>
      </c>
      <c r="N47" s="13">
        <f>33/224</f>
        <v>0.14732142857142858</v>
      </c>
      <c r="O47" s="12">
        <v>24</v>
      </c>
      <c r="P47" s="13">
        <f>24/199</f>
        <v>0.12060301507537688</v>
      </c>
      <c r="Q47" s="12">
        <v>19</v>
      </c>
      <c r="R47" s="13">
        <f>19/120</f>
        <v>0.15833333333333333</v>
      </c>
      <c r="S47" s="58" t="s">
        <v>14</v>
      </c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spans="1:18" ht="12.75">
      <c r="A53" t="s">
        <v>16</v>
      </c>
      <c r="D53" s="4" t="s">
        <v>68</v>
      </c>
      <c r="E53" s="4"/>
      <c r="F53" s="4"/>
      <c r="G53" s="4"/>
      <c r="I53" s="62" t="s">
        <v>69</v>
      </c>
      <c r="J53" s="62"/>
      <c r="K53" s="62"/>
      <c r="L53" s="62"/>
      <c r="M53" s="62"/>
      <c r="N53" s="62"/>
      <c r="R53" s="5"/>
    </row>
    <row r="54" spans="1:11" ht="12.75">
      <c r="A54" s="3" t="s">
        <v>72</v>
      </c>
      <c r="K54" s="10"/>
    </row>
    <row r="55" spans="9:10" ht="12.75">
      <c r="I55" s="4"/>
      <c r="J55" s="4"/>
    </row>
    <row r="56" spans="4:18" ht="12.75">
      <c r="D56" s="30" t="s">
        <v>45</v>
      </c>
      <c r="E56" s="7"/>
      <c r="F56" s="30" t="s">
        <v>46</v>
      </c>
      <c r="G56" s="7"/>
      <c r="I56" s="62" t="s">
        <v>50</v>
      </c>
      <c r="J56" s="62"/>
      <c r="K56" s="62" t="s">
        <v>51</v>
      </c>
      <c r="L56" s="62"/>
      <c r="M56" s="62" t="s">
        <v>52</v>
      </c>
      <c r="N56" s="62"/>
      <c r="O56" s="62" t="s">
        <v>83</v>
      </c>
      <c r="P56" s="62"/>
      <c r="Q56" s="62" t="s">
        <v>84</v>
      </c>
      <c r="R56" s="62"/>
    </row>
    <row r="57" spans="4:18" ht="12.75">
      <c r="D57" s="7" t="s">
        <v>31</v>
      </c>
      <c r="E57" s="7" t="s">
        <v>32</v>
      </c>
      <c r="F57" s="7" t="s">
        <v>31</v>
      </c>
      <c r="G57" s="7" t="s">
        <v>32</v>
      </c>
      <c r="I57" s="7" t="s">
        <v>31</v>
      </c>
      <c r="J57" s="7" t="s">
        <v>32</v>
      </c>
      <c r="K57" s="7" t="s">
        <v>31</v>
      </c>
      <c r="L57" s="7" t="s">
        <v>32</v>
      </c>
      <c r="M57" s="7" t="s">
        <v>31</v>
      </c>
      <c r="N57" s="7" t="s">
        <v>32</v>
      </c>
      <c r="O57" s="7" t="s">
        <v>31</v>
      </c>
      <c r="P57" s="7" t="s">
        <v>32</v>
      </c>
      <c r="Q57" s="7" t="s">
        <v>31</v>
      </c>
      <c r="R57" s="7" t="s">
        <v>32</v>
      </c>
    </row>
    <row r="58" spans="4:6" ht="12.75">
      <c r="D58" s="8"/>
      <c r="F58" s="8"/>
    </row>
    <row r="59" spans="4:11" ht="12.75">
      <c r="D59" s="18"/>
      <c r="E59" s="31"/>
      <c r="F59" s="8"/>
      <c r="I59" s="8"/>
      <c r="K59" s="8"/>
    </row>
    <row r="60" spans="1:18" ht="12.75">
      <c r="A60" s="11" t="s">
        <v>34</v>
      </c>
      <c r="D60" s="32">
        <v>1256</v>
      </c>
      <c r="E60" s="34">
        <f>D60*1000/112649</f>
        <v>11.149677316265569</v>
      </c>
      <c r="F60" s="12">
        <v>1047</v>
      </c>
      <c r="G60" s="34">
        <f>F60*1000/120309</f>
        <v>8.702590828616312</v>
      </c>
      <c r="H60" s="11"/>
      <c r="I60" s="12">
        <v>774</v>
      </c>
      <c r="J60" s="20">
        <f>I60*1000/(168523)</f>
        <v>4.592844893575358</v>
      </c>
      <c r="K60" s="12">
        <v>738</v>
      </c>
      <c r="L60" s="20">
        <f>K60*1000/(150121)</f>
        <v>4.916034398918206</v>
      </c>
      <c r="M60" s="12">
        <v>746</v>
      </c>
      <c r="N60" s="20">
        <f>M60*1000/(148879)</f>
        <v>5.010780566768987</v>
      </c>
      <c r="O60" s="8">
        <v>893</v>
      </c>
      <c r="P60" s="20">
        <f>O60*1000/(149406)</f>
        <v>5.97700226229201</v>
      </c>
      <c r="Q60" s="8">
        <v>799</v>
      </c>
      <c r="R60" s="20">
        <f>Q60*1000/(156998)</f>
        <v>5.089236805564402</v>
      </c>
    </row>
    <row r="61" spans="1:17" ht="12.75">
      <c r="A61" t="s">
        <v>35</v>
      </c>
      <c r="B61" s="11"/>
      <c r="C61" s="11"/>
      <c r="D61" s="18"/>
      <c r="E61" s="19"/>
      <c r="F61" s="8"/>
      <c r="G61" s="19"/>
      <c r="I61" s="8"/>
      <c r="K61" s="8"/>
      <c r="M61" s="8"/>
      <c r="O61" s="8"/>
      <c r="Q61" s="8"/>
    </row>
    <row r="62" spans="4:17" ht="12.75">
      <c r="D62" s="18"/>
      <c r="E62" s="19"/>
      <c r="F62" s="8"/>
      <c r="G62" s="19"/>
      <c r="I62" s="8"/>
      <c r="K62" s="8"/>
      <c r="M62" s="8"/>
      <c r="O62" s="8"/>
      <c r="Q62" s="8"/>
    </row>
    <row r="63" spans="1:18" ht="12.75">
      <c r="A63" s="11" t="s">
        <v>36</v>
      </c>
      <c r="D63" s="18">
        <v>629</v>
      </c>
      <c r="E63" s="34">
        <f>D63*1000/75464</f>
        <v>8.335100180218383</v>
      </c>
      <c r="F63" s="12">
        <v>548</v>
      </c>
      <c r="G63" s="34">
        <f>F63*1000/82083</f>
        <v>6.676169243326877</v>
      </c>
      <c r="I63" s="8">
        <v>500</v>
      </c>
      <c r="J63" s="20">
        <f>I63*1000/(126187)</f>
        <v>3.962373303113633</v>
      </c>
      <c r="K63" s="8">
        <v>442</v>
      </c>
      <c r="L63" s="20">
        <f>K63*1000/(110202)</f>
        <v>4.010816500607975</v>
      </c>
      <c r="M63" s="8">
        <v>453</v>
      </c>
      <c r="N63" s="20">
        <f>M63*1000/(107872)</f>
        <v>4.199421536636013</v>
      </c>
      <c r="O63" s="8">
        <v>530</v>
      </c>
      <c r="P63" s="20">
        <f>O63*1000/(106554)</f>
        <v>4.974003791504777</v>
      </c>
      <c r="Q63" s="8">
        <v>485</v>
      </c>
      <c r="R63" s="20">
        <f>Q63*1000/(111570)</f>
        <v>4.347046697140809</v>
      </c>
    </row>
    <row r="64" spans="1:17" ht="12.75">
      <c r="A64" t="s">
        <v>35</v>
      </c>
      <c r="D64" s="18"/>
      <c r="E64" s="34"/>
      <c r="F64" s="12"/>
      <c r="G64" s="34"/>
      <c r="I64" s="8"/>
      <c r="K64" s="8"/>
      <c r="M64" s="8"/>
      <c r="O64" s="8"/>
      <c r="Q64" s="8"/>
    </row>
    <row r="65" spans="4:17" ht="12.75">
      <c r="D65" s="18"/>
      <c r="E65" s="34"/>
      <c r="F65" s="12" t="s">
        <v>16</v>
      </c>
      <c r="G65" s="34"/>
      <c r="I65" s="8"/>
      <c r="K65" s="8"/>
      <c r="M65" s="8"/>
      <c r="O65" s="8"/>
      <c r="Q65" s="8"/>
    </row>
    <row r="66" spans="1:18" ht="12.75">
      <c r="A66" t="s">
        <v>65</v>
      </c>
      <c r="D66" s="32" t="s">
        <v>33</v>
      </c>
      <c r="E66" s="33" t="s">
        <v>33</v>
      </c>
      <c r="F66" s="32" t="s">
        <v>33</v>
      </c>
      <c r="G66" s="33" t="s">
        <v>33</v>
      </c>
      <c r="I66" s="8">
        <v>1523</v>
      </c>
      <c r="J66" s="20">
        <f>I66*1000/(42336)</f>
        <v>35.97411186696901</v>
      </c>
      <c r="K66" s="8">
        <v>1819</v>
      </c>
      <c r="L66" s="20">
        <f>K66*1000/(39919)</f>
        <v>45.56727372930184</v>
      </c>
      <c r="M66" s="8">
        <v>1592</v>
      </c>
      <c r="N66" s="20">
        <f>M66*1000/(41007)</f>
        <v>38.82264003706684</v>
      </c>
      <c r="O66" s="8">
        <v>1768</v>
      </c>
      <c r="P66" s="20">
        <f>O66*1000/(42852)</f>
        <v>41.25828432745263</v>
      </c>
      <c r="Q66" s="8">
        <v>1522</v>
      </c>
      <c r="R66" s="20">
        <f>Q66*1000/(45428)</f>
        <v>33.503566082592236</v>
      </c>
    </row>
    <row r="67" spans="4:17" ht="12.75">
      <c r="D67" s="18"/>
      <c r="E67" s="34"/>
      <c r="F67" s="12"/>
      <c r="G67" s="34"/>
      <c r="I67" s="8"/>
      <c r="K67" s="8"/>
      <c r="M67" s="8"/>
      <c r="O67" s="8"/>
      <c r="Q67" s="8"/>
    </row>
    <row r="68" spans="1:18" ht="12.75">
      <c r="A68" t="s">
        <v>37</v>
      </c>
      <c r="D68" s="18">
        <v>2333</v>
      </c>
      <c r="E68" s="34">
        <f>D68*1000/75464</f>
        <v>30.915403371143857</v>
      </c>
      <c r="F68" s="12">
        <v>2642</v>
      </c>
      <c r="G68" s="34">
        <f>F68*1000/82083</f>
        <v>32.186932738813155</v>
      </c>
      <c r="I68" s="8">
        <v>2934</v>
      </c>
      <c r="J68" s="20">
        <f>I68*1000/(126187)</f>
        <v>23.251206542670797</v>
      </c>
      <c r="K68" s="8">
        <v>2716</v>
      </c>
      <c r="L68" s="20">
        <f>K68*1000/(110202)</f>
        <v>24.64565071414312</v>
      </c>
      <c r="M68" s="8">
        <v>2556</v>
      </c>
      <c r="N68" s="20">
        <f>M68*1000/(107872)</f>
        <v>23.694749332542273</v>
      </c>
      <c r="O68" s="8">
        <v>2716</v>
      </c>
      <c r="P68" s="20">
        <f>O68*1000/(106554)</f>
        <v>25.489423203258443</v>
      </c>
      <c r="Q68" s="8">
        <v>2932</v>
      </c>
      <c r="R68" s="20">
        <f>Q68*1000/(111570)</f>
        <v>26.27946580622031</v>
      </c>
    </row>
    <row r="69" spans="4:17" ht="12.75">
      <c r="D69" s="18"/>
      <c r="E69" s="34"/>
      <c r="F69" s="12"/>
      <c r="G69" s="34"/>
      <c r="I69" s="8"/>
      <c r="K69" s="8"/>
      <c r="M69" s="8"/>
      <c r="O69" s="8"/>
      <c r="Q69" s="8"/>
    </row>
    <row r="70" spans="1:18" ht="12.75">
      <c r="A70" t="s">
        <v>38</v>
      </c>
      <c r="D70" s="32" t="s">
        <v>33</v>
      </c>
      <c r="E70" s="33" t="s">
        <v>33</v>
      </c>
      <c r="F70" s="32" t="s">
        <v>33</v>
      </c>
      <c r="G70" s="33" t="s">
        <v>33</v>
      </c>
      <c r="I70" s="8">
        <v>130</v>
      </c>
      <c r="J70" s="16">
        <f>I70*1000/(55173)</f>
        <v>2.3562249651097456</v>
      </c>
      <c r="K70" s="8">
        <v>94</v>
      </c>
      <c r="L70" s="16">
        <f>K70*1000/(39609)</f>
        <v>2.373198010553157</v>
      </c>
      <c r="M70" s="8">
        <v>68</v>
      </c>
      <c r="N70" s="16">
        <f>M70*1000/(38577)</f>
        <v>1.762708349534697</v>
      </c>
      <c r="O70" s="8">
        <v>83</v>
      </c>
      <c r="P70" s="16">
        <f>O70*1000/(36478)</f>
        <v>2.2753440429848126</v>
      </c>
      <c r="Q70" s="8">
        <v>87</v>
      </c>
      <c r="R70" s="16">
        <f>Q70*1000/(38193)</f>
        <v>2.277904328018223</v>
      </c>
    </row>
    <row r="71" spans="1:17" ht="12.75">
      <c r="A71" t="s">
        <v>35</v>
      </c>
      <c r="D71" s="18"/>
      <c r="E71" s="19"/>
      <c r="F71" s="8"/>
      <c r="G71" s="16"/>
      <c r="I71" s="8"/>
      <c r="K71" s="8"/>
      <c r="M71" s="8"/>
      <c r="O71" s="8"/>
      <c r="Q71" s="8"/>
    </row>
    <row r="72" spans="4:17" ht="12.75">
      <c r="D72" s="18"/>
      <c r="E72" s="19"/>
      <c r="F72" s="8"/>
      <c r="G72" s="16"/>
      <c r="I72" s="8"/>
      <c r="K72" s="8"/>
      <c r="M72" s="8"/>
      <c r="O72" s="8"/>
      <c r="Q72" s="8"/>
    </row>
    <row r="73" spans="1:18" ht="12.75">
      <c r="A73" t="s">
        <v>39</v>
      </c>
      <c r="D73" s="18">
        <v>91977</v>
      </c>
      <c r="E73" s="19">
        <f>D73*1000/112649</f>
        <v>816.4919351259222</v>
      </c>
      <c r="F73" s="8">
        <v>90055</v>
      </c>
      <c r="G73" s="19">
        <f>F73*1000/120309</f>
        <v>748.5308663524758</v>
      </c>
      <c r="I73" s="8">
        <v>109335</v>
      </c>
      <c r="J73" s="20">
        <f>I73*1000/(168523)</f>
        <v>648.7838455285035</v>
      </c>
      <c r="K73" s="8">
        <v>103990</v>
      </c>
      <c r="L73" s="20">
        <f>K73*1000/(150121)</f>
        <v>692.7078823082713</v>
      </c>
      <c r="M73" s="8">
        <v>103982</v>
      </c>
      <c r="N73" s="20">
        <f>M73*1000/(148879)</f>
        <v>698.4329556216793</v>
      </c>
      <c r="O73" s="8">
        <v>114901</v>
      </c>
      <c r="P73" s="20">
        <f>O73*1000/(149406)</f>
        <v>769.0521130342825</v>
      </c>
      <c r="Q73" s="8">
        <v>122316</v>
      </c>
      <c r="R73" s="20">
        <f>Q73*1000/(156998)</f>
        <v>779.0927272958892</v>
      </c>
    </row>
    <row r="74" spans="4:17" ht="12.75">
      <c r="D74" s="18"/>
      <c r="E74" s="19"/>
      <c r="F74" s="8"/>
      <c r="G74" s="19"/>
      <c r="I74" s="8"/>
      <c r="K74" s="8"/>
      <c r="M74" s="8"/>
      <c r="O74" s="8"/>
      <c r="Q74" s="8"/>
    </row>
    <row r="75" spans="1:18" ht="12.75">
      <c r="A75" t="s">
        <v>40</v>
      </c>
      <c r="D75" s="32" t="s">
        <v>33</v>
      </c>
      <c r="E75" s="33" t="s">
        <v>33</v>
      </c>
      <c r="F75" s="32" t="s">
        <v>33</v>
      </c>
      <c r="G75" s="33" t="s">
        <v>33</v>
      </c>
      <c r="I75" s="8">
        <v>59055</v>
      </c>
      <c r="J75" s="16">
        <f>I75*1000/(55173)</f>
        <v>1070.3605024196618</v>
      </c>
      <c r="K75" s="8">
        <v>46288</v>
      </c>
      <c r="L75" s="16">
        <f>K75*1000/(39609)</f>
        <v>1168.6232926860057</v>
      </c>
      <c r="M75" s="8">
        <v>45095</v>
      </c>
      <c r="N75" s="16">
        <f>M75*1000/(38577)</f>
        <v>1168.9607797392227</v>
      </c>
      <c r="O75" s="8">
        <v>55093</v>
      </c>
      <c r="P75" s="16">
        <f>O75*1000/(36478)</f>
        <v>1510.3075826525578</v>
      </c>
      <c r="Q75" s="8">
        <v>49963</v>
      </c>
      <c r="R75" s="16">
        <f>Q75*1000/(38193)</f>
        <v>1308.1716544916608</v>
      </c>
    </row>
    <row r="76" spans="4:17" ht="12.75">
      <c r="D76" s="8"/>
      <c r="F76" s="8"/>
      <c r="I76" s="8"/>
      <c r="K76" s="8"/>
      <c r="M76" s="8"/>
      <c r="O76" s="8"/>
      <c r="Q76" s="8"/>
    </row>
    <row r="77" spans="1:18" ht="12.75">
      <c r="A77" t="s">
        <v>41</v>
      </c>
      <c r="D77" s="32" t="s">
        <v>33</v>
      </c>
      <c r="E77" s="33" t="s">
        <v>33</v>
      </c>
      <c r="F77" s="32" t="s">
        <v>33</v>
      </c>
      <c r="G77" s="33" t="s">
        <v>33</v>
      </c>
      <c r="I77" s="8">
        <v>284</v>
      </c>
      <c r="J77" s="16">
        <f>I77*1000/(44836)</f>
        <v>6.334195735569631</v>
      </c>
      <c r="K77" s="8">
        <v>179</v>
      </c>
      <c r="L77" s="16">
        <f>K77*1000/(33273)</f>
        <v>5.379737324557449</v>
      </c>
      <c r="M77" s="8">
        <v>144</v>
      </c>
      <c r="N77" s="16">
        <f>M77*1000/(32663)</f>
        <v>4.408658114686342</v>
      </c>
      <c r="O77" s="8">
        <v>149</v>
      </c>
      <c r="P77" s="16">
        <f>O77*1000/(30607)</f>
        <v>4.868167412683373</v>
      </c>
      <c r="Q77" s="8">
        <v>121</v>
      </c>
      <c r="R77" s="16">
        <f>Q77*1000/(31560)</f>
        <v>3.8339670468948035</v>
      </c>
    </row>
    <row r="78" spans="4:17" ht="12.75">
      <c r="D78" s="8"/>
      <c r="F78" s="8"/>
      <c r="I78" s="8"/>
      <c r="K78" s="8"/>
      <c r="M78" s="8"/>
      <c r="O78" s="8"/>
      <c r="Q78" s="8"/>
    </row>
    <row r="79" spans="4:17" ht="12.75">
      <c r="D79" s="8"/>
      <c r="F79" s="8"/>
      <c r="I79" s="8"/>
      <c r="K79" s="8"/>
      <c r="M79" s="8"/>
      <c r="O79" s="8"/>
      <c r="Q79" s="8"/>
    </row>
    <row r="80" spans="1:18" ht="12.75">
      <c r="A80" t="s">
        <v>42</v>
      </c>
      <c r="D80" s="18">
        <v>3096</v>
      </c>
      <c r="E80" s="19">
        <f>D80*1000/112649</f>
        <v>27.483599499329777</v>
      </c>
      <c r="F80" s="18">
        <v>2716</v>
      </c>
      <c r="G80" s="19">
        <f>F80*1000/120309</f>
        <v>22.575202187700008</v>
      </c>
      <c r="I80" s="8">
        <v>2117</v>
      </c>
      <c r="J80" s="20">
        <f>I80*1000/(168523)</f>
        <v>12.562083513823039</v>
      </c>
      <c r="K80" s="8">
        <v>2034</v>
      </c>
      <c r="L80" s="20">
        <f>K80*1000/(150121)</f>
        <v>13.549070416530665</v>
      </c>
      <c r="M80" s="8">
        <v>2035</v>
      </c>
      <c r="N80" s="20">
        <f>M80*1000/(148879)</f>
        <v>13.668818302111111</v>
      </c>
      <c r="O80" s="8">
        <v>2509</v>
      </c>
      <c r="P80" s="20">
        <f>O80*1000/(149406)</f>
        <v>16.793167610403867</v>
      </c>
      <c r="Q80" s="8">
        <v>2609</v>
      </c>
      <c r="R80" s="20">
        <f>Q80*1000/(156998)</f>
        <v>16.618046089759105</v>
      </c>
    </row>
    <row r="81" spans="4:15" ht="12.75">
      <c r="D81" s="18"/>
      <c r="E81" s="31"/>
      <c r="F81" s="18"/>
      <c r="G81" s="31"/>
      <c r="I81" s="18"/>
      <c r="J81" s="31"/>
      <c r="K81" s="8"/>
      <c r="M81" s="8"/>
      <c r="O81" s="8"/>
    </row>
    <row r="83" spans="6:13" ht="12.75">
      <c r="F83" s="8"/>
      <c r="I83" s="8"/>
      <c r="M83" s="10"/>
    </row>
    <row r="84" ht="12.75">
      <c r="K84" s="10"/>
    </row>
    <row r="85" ht="12.75">
      <c r="K85" s="10"/>
    </row>
    <row r="86" ht="12.75">
      <c r="K86" s="10"/>
    </row>
    <row r="87" spans="1:11" ht="12.75">
      <c r="A87" t="s">
        <v>43</v>
      </c>
      <c r="K87" s="10"/>
    </row>
    <row r="88" spans="1:11" ht="12.75">
      <c r="A88" t="s">
        <v>44</v>
      </c>
      <c r="K88" s="10"/>
    </row>
    <row r="89" ht="12.75">
      <c r="K89" s="10"/>
    </row>
    <row r="90" spans="1:11" ht="12.75">
      <c r="A90" s="41"/>
      <c r="K90" s="10"/>
    </row>
    <row r="91" ht="12.75">
      <c r="A91" t="s">
        <v>89</v>
      </c>
    </row>
    <row r="93" ht="12.75">
      <c r="A93" t="s">
        <v>49</v>
      </c>
    </row>
    <row r="94" ht="12.75">
      <c r="A94" s="29">
        <v>40626</v>
      </c>
    </row>
    <row r="103" spans="1:13" ht="15">
      <c r="A103" s="1" t="s">
        <v>66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1" t="s">
        <v>70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4:11" ht="12.75">
      <c r="D105" s="2"/>
      <c r="E105" s="2"/>
      <c r="F105" s="2"/>
      <c r="G105" s="2"/>
      <c r="H105" s="2"/>
      <c r="I105" s="2"/>
      <c r="J105" s="2"/>
      <c r="K105" s="2"/>
    </row>
    <row r="107" spans="4:16" ht="12.75">
      <c r="D107" s="55" t="s">
        <v>68</v>
      </c>
      <c r="E107" s="4"/>
      <c r="F107" s="4"/>
      <c r="G107" s="4"/>
      <c r="I107" s="63" t="s">
        <v>69</v>
      </c>
      <c r="J107" s="63"/>
      <c r="K107" s="63"/>
      <c r="L107" s="63"/>
      <c r="M107" s="63"/>
      <c r="N107" s="63"/>
      <c r="O107" s="63"/>
      <c r="P107" s="63"/>
    </row>
    <row r="108" ht="12.75">
      <c r="A108" s="3"/>
    </row>
    <row r="109" spans="1:18" ht="12.75">
      <c r="A109" s="3"/>
      <c r="F109" s="4" t="s">
        <v>1</v>
      </c>
      <c r="G109" s="4"/>
      <c r="K109" s="4"/>
      <c r="M109" s="10"/>
      <c r="N109" s="4"/>
      <c r="O109" s="63" t="s">
        <v>16</v>
      </c>
      <c r="P109" s="63"/>
      <c r="Q109" s="63" t="s">
        <v>16</v>
      </c>
      <c r="R109" s="63"/>
    </row>
    <row r="110" spans="1:19" ht="12.75">
      <c r="A110" s="3"/>
      <c r="D110" s="4" t="s">
        <v>45</v>
      </c>
      <c r="E110" s="4"/>
      <c r="F110" s="4" t="s">
        <v>46</v>
      </c>
      <c r="G110" s="4"/>
      <c r="I110" s="62" t="s">
        <v>51</v>
      </c>
      <c r="J110" s="62"/>
      <c r="K110" s="62" t="s">
        <v>52</v>
      </c>
      <c r="L110" s="62"/>
      <c r="M110" s="62" t="s">
        <v>83</v>
      </c>
      <c r="N110" s="62"/>
      <c r="O110" s="62" t="s">
        <v>84</v>
      </c>
      <c r="P110" s="62"/>
      <c r="Q110" s="62" t="s">
        <v>85</v>
      </c>
      <c r="R110" s="62"/>
      <c r="S110" s="4" t="s">
        <v>5</v>
      </c>
    </row>
    <row r="111" spans="1:19" ht="12.75">
      <c r="A111" s="6" t="s">
        <v>2</v>
      </c>
      <c r="D111" s="7" t="s">
        <v>6</v>
      </c>
      <c r="E111" s="7" t="s">
        <v>7</v>
      </c>
      <c r="F111" s="7" t="s">
        <v>8</v>
      </c>
      <c r="G111" s="7" t="s">
        <v>7</v>
      </c>
      <c r="I111" s="7" t="s">
        <v>8</v>
      </c>
      <c r="J111" s="7" t="s">
        <v>7</v>
      </c>
      <c r="K111" s="7" t="s">
        <v>8</v>
      </c>
      <c r="L111" s="7" t="s">
        <v>7</v>
      </c>
      <c r="M111" s="7" t="s">
        <v>31</v>
      </c>
      <c r="N111" s="7" t="s">
        <v>32</v>
      </c>
      <c r="O111" s="7" t="s">
        <v>31</v>
      </c>
      <c r="P111" s="7" t="s">
        <v>32</v>
      </c>
      <c r="Q111" s="7" t="s">
        <v>31</v>
      </c>
      <c r="R111" s="7" t="s">
        <v>32</v>
      </c>
      <c r="S111" s="5" t="s">
        <v>9</v>
      </c>
    </row>
    <row r="112" spans="1:19" ht="12.75">
      <c r="A112" s="11"/>
      <c r="B112" s="11" t="s">
        <v>10</v>
      </c>
      <c r="C112" s="11"/>
      <c r="D112" s="12">
        <v>17246</v>
      </c>
      <c r="E112" s="13">
        <f>D112/D116</f>
        <v>0.9329726805517987</v>
      </c>
      <c r="F112" s="12">
        <v>16974</v>
      </c>
      <c r="G112" s="13">
        <f>F112/F116</f>
        <v>0.9427904910019995</v>
      </c>
      <c r="H112" s="11"/>
      <c r="I112" s="12">
        <v>17001</v>
      </c>
      <c r="J112" s="13">
        <f>I112/I116</f>
        <v>0.9534518535135438</v>
      </c>
      <c r="K112" s="12">
        <v>16688</v>
      </c>
      <c r="L112" s="13">
        <f>K112/K116</f>
        <v>0.9522396576319544</v>
      </c>
      <c r="M112" s="12">
        <v>16969</v>
      </c>
      <c r="N112" s="13">
        <f>M112/M116</f>
        <v>0.9519775596072931</v>
      </c>
      <c r="O112" s="12">
        <v>16190</v>
      </c>
      <c r="P112" s="13">
        <f>O112/O116</f>
        <v>0.9507869391590322</v>
      </c>
      <c r="Q112" s="12">
        <v>15786</v>
      </c>
      <c r="R112" s="13">
        <f>Q112/Q116</f>
        <v>0.9058877539309078</v>
      </c>
      <c r="S112" s="15" t="s">
        <v>11</v>
      </c>
    </row>
    <row r="113" spans="2:19" ht="12.75">
      <c r="B113" t="s">
        <v>12</v>
      </c>
      <c r="D113" s="8">
        <v>922</v>
      </c>
      <c r="E113" s="9">
        <f>D113/D116</f>
        <v>0.04987827968623208</v>
      </c>
      <c r="F113" s="8">
        <v>738</v>
      </c>
      <c r="G113" s="9">
        <f>F113/F116</f>
        <v>0.040990890913130414</v>
      </c>
      <c r="I113" s="8">
        <v>626</v>
      </c>
      <c r="J113" s="9">
        <f>I113/I116</f>
        <v>0.035107397229544056</v>
      </c>
      <c r="K113" s="8">
        <v>630</v>
      </c>
      <c r="L113" s="9">
        <f>K113/K116</f>
        <v>0.035948644793152636</v>
      </c>
      <c r="M113" s="8">
        <v>609</v>
      </c>
      <c r="N113" s="9">
        <f>M113/M116</f>
        <v>0.03416549789621318</v>
      </c>
      <c r="O113" s="8">
        <v>615</v>
      </c>
      <c r="P113" s="9">
        <f>O113/O116</f>
        <v>0.03611698379140239</v>
      </c>
      <c r="Q113" s="8">
        <v>1413</v>
      </c>
      <c r="R113" s="9">
        <f>Q113/Q116</f>
        <v>0.08108573396074831</v>
      </c>
      <c r="S113" s="15" t="s">
        <v>11</v>
      </c>
    </row>
    <row r="114" spans="2:19" ht="12.75">
      <c r="B114" t="s">
        <v>13</v>
      </c>
      <c r="D114" s="8">
        <v>134</v>
      </c>
      <c r="E114" s="9">
        <f>D114/D116</f>
        <v>0.007249120908845009</v>
      </c>
      <c r="F114" s="8">
        <v>135</v>
      </c>
      <c r="G114" s="9">
        <f>F114/F116</f>
        <v>0.0074983337036214175</v>
      </c>
      <c r="I114" s="8">
        <v>90</v>
      </c>
      <c r="J114" s="9">
        <f>I114/I116</f>
        <v>0.005047389378049464</v>
      </c>
      <c r="K114" s="8">
        <v>107</v>
      </c>
      <c r="L114" s="9">
        <f>K114/K116</f>
        <v>0.0061055634807417975</v>
      </c>
      <c r="M114" s="8">
        <v>116</v>
      </c>
      <c r="N114" s="9">
        <f>M114/M116</f>
        <v>0.006507713884992988</v>
      </c>
      <c r="O114" s="8">
        <v>115</v>
      </c>
      <c r="P114" s="9">
        <f>O114/O116</f>
        <v>0.006753582334977684</v>
      </c>
      <c r="Q114" s="8">
        <v>169</v>
      </c>
      <c r="R114" s="9">
        <f>Q114/Q116</f>
        <v>0.009698152186388156</v>
      </c>
      <c r="S114" s="15" t="s">
        <v>11</v>
      </c>
    </row>
    <row r="115" spans="2:19" ht="12.75">
      <c r="B115" s="11" t="s">
        <v>15</v>
      </c>
      <c r="C115" s="11"/>
      <c r="D115" s="12">
        <v>183</v>
      </c>
      <c r="E115" s="13">
        <f>D115/D116</f>
        <v>0.009899918853124155</v>
      </c>
      <c r="F115" s="12">
        <v>157</v>
      </c>
      <c r="G115" s="13">
        <f>F115/F116</f>
        <v>0.00872028438124861</v>
      </c>
      <c r="H115" s="11" t="s">
        <v>16</v>
      </c>
      <c r="I115" s="12">
        <v>114</v>
      </c>
      <c r="J115" s="13">
        <f>I115/I116</f>
        <v>0.006393359878862655</v>
      </c>
      <c r="K115" s="12">
        <v>100</v>
      </c>
      <c r="L115" s="13">
        <f>K115/K116</f>
        <v>0.005706134094151213</v>
      </c>
      <c r="M115" s="12">
        <v>131</v>
      </c>
      <c r="N115" s="13">
        <f>M115/M116</f>
        <v>0.007349228611500701</v>
      </c>
      <c r="O115" s="12">
        <v>108</v>
      </c>
      <c r="P115" s="13">
        <f>O115/O116</f>
        <v>0.006342494714587738</v>
      </c>
      <c r="Q115" s="12">
        <v>58</v>
      </c>
      <c r="R115" s="13">
        <f>Q115/Q116</f>
        <v>0.0033283599219556983</v>
      </c>
      <c r="S115" s="15" t="s">
        <v>11</v>
      </c>
    </row>
    <row r="116" spans="2:19" ht="12.75">
      <c r="B116" t="s">
        <v>17</v>
      </c>
      <c r="D116" s="8">
        <f>SUM(D112:D115)</f>
        <v>18485</v>
      </c>
      <c r="E116" s="9"/>
      <c r="F116" s="8">
        <f>SUM(F112:F115)</f>
        <v>18004</v>
      </c>
      <c r="G116" s="9"/>
      <c r="I116" s="8">
        <f>SUM(I112:I115)</f>
        <v>17831</v>
      </c>
      <c r="K116" s="8">
        <f>SUM(K112:K115)</f>
        <v>17525</v>
      </c>
      <c r="M116" s="8">
        <f>SUM(M112:M115)</f>
        <v>17825</v>
      </c>
      <c r="O116" s="8">
        <f>SUM(O112:O115)</f>
        <v>17028</v>
      </c>
      <c r="Q116" s="8">
        <f>SUM(Q112:Q115)</f>
        <v>17426</v>
      </c>
      <c r="S116" s="10"/>
    </row>
    <row r="117" spans="4:19" ht="12.75">
      <c r="D117" s="8"/>
      <c r="E117" t="s">
        <v>16</v>
      </c>
      <c r="F117" s="8"/>
      <c r="I117" s="8"/>
      <c r="K117" s="8"/>
      <c r="M117" s="8"/>
      <c r="O117" s="8"/>
      <c r="Q117" s="8"/>
      <c r="S117" s="10"/>
    </row>
    <row r="118" spans="1:19" ht="12.75">
      <c r="A118" s="45" t="s">
        <v>18</v>
      </c>
      <c r="B118" s="11"/>
      <c r="C118" s="11"/>
      <c r="D118" s="12">
        <v>1138</v>
      </c>
      <c r="E118" s="13">
        <v>0.062054</v>
      </c>
      <c r="F118" s="12">
        <v>965</v>
      </c>
      <c r="G118" s="13">
        <v>0.054</v>
      </c>
      <c r="H118" s="11"/>
      <c r="I118" s="12">
        <v>704</v>
      </c>
      <c r="J118" s="13">
        <v>0.03988</v>
      </c>
      <c r="K118" s="12">
        <v>754</v>
      </c>
      <c r="L118" s="13">
        <v>0.04363</v>
      </c>
      <c r="M118" s="12">
        <v>788</v>
      </c>
      <c r="N118" s="13">
        <v>0.04492</v>
      </c>
      <c r="O118" s="12">
        <v>768</v>
      </c>
      <c r="P118" s="13">
        <v>0.04566</v>
      </c>
      <c r="Q118" s="12">
        <v>956</v>
      </c>
      <c r="R118" s="13">
        <v>0.05551</v>
      </c>
      <c r="S118" s="15" t="s">
        <v>11</v>
      </c>
    </row>
    <row r="119" spans="4:19" ht="12.75">
      <c r="D119" s="8"/>
      <c r="F119" s="8"/>
      <c r="G119" t="s">
        <v>16</v>
      </c>
      <c r="I119" s="8"/>
      <c r="K119" s="8"/>
      <c r="M119" s="8"/>
      <c r="O119" s="8"/>
      <c r="Q119" s="8"/>
      <c r="S119" s="10"/>
    </row>
    <row r="120" spans="1:19" ht="12.75">
      <c r="A120" s="6" t="s">
        <v>19</v>
      </c>
      <c r="D120" s="8"/>
      <c r="F120" s="8"/>
      <c r="I120" s="8"/>
      <c r="K120" s="8"/>
      <c r="M120" s="8"/>
      <c r="O120" s="8"/>
      <c r="Q120" s="8"/>
      <c r="S120" s="10"/>
    </row>
    <row r="121" spans="2:19" ht="12.75">
      <c r="B121" s="53" t="s">
        <v>53</v>
      </c>
      <c r="D121" s="8">
        <v>217</v>
      </c>
      <c r="E121" s="9">
        <f>D121/D124</f>
        <v>0.011590022966404956</v>
      </c>
      <c r="F121" s="8">
        <v>263</v>
      </c>
      <c r="G121" s="9">
        <f>F121/F124</f>
        <v>0.01438022855268194</v>
      </c>
      <c r="I121" s="8">
        <v>269</v>
      </c>
      <c r="J121" s="9">
        <f>I121/I124</f>
        <v>0.014954414053813654</v>
      </c>
      <c r="K121" s="8">
        <v>280</v>
      </c>
      <c r="L121" s="9">
        <f>K121/K124</f>
        <v>0.015776425512733828</v>
      </c>
      <c r="M121" s="8">
        <v>267</v>
      </c>
      <c r="N121" s="9">
        <f>M121/M124</f>
        <v>0.014831685368292411</v>
      </c>
      <c r="O121" s="8">
        <v>272</v>
      </c>
      <c r="P121" s="9">
        <f>O121/O124</f>
        <v>0.015774517195383635</v>
      </c>
      <c r="Q121" s="8">
        <v>266</v>
      </c>
      <c r="R121" s="9">
        <f>Q121/Q124</f>
        <v>0.014522028716492875</v>
      </c>
      <c r="S121" s="10" t="s">
        <v>14</v>
      </c>
    </row>
    <row r="122" spans="2:19" ht="12.75">
      <c r="B122" s="53" t="s">
        <v>54</v>
      </c>
      <c r="D122" s="8">
        <v>952</v>
      </c>
      <c r="E122" s="9">
        <f>D122/D124</f>
        <v>0.05084655236874432</v>
      </c>
      <c r="F122" s="8">
        <v>1005</v>
      </c>
      <c r="G122" s="9">
        <f>F122/F124</f>
        <v>0.0549510634807808</v>
      </c>
      <c r="I122" s="8">
        <v>1145</v>
      </c>
      <c r="J122" s="9">
        <f>I122/I124</f>
        <v>0.06365354680898376</v>
      </c>
      <c r="K122" s="8">
        <v>1101</v>
      </c>
      <c r="L122" s="9">
        <f>K122/K124</f>
        <v>0.06203515889114267</v>
      </c>
      <c r="M122" s="8">
        <v>1145</v>
      </c>
      <c r="N122" s="9">
        <f>M122/M124</f>
        <v>0.06360404399511166</v>
      </c>
      <c r="O122" s="8">
        <v>954</v>
      </c>
      <c r="P122" s="9">
        <f>O122/O124</f>
        <v>0.055326799280867596</v>
      </c>
      <c r="Q122" s="8">
        <v>1076</v>
      </c>
      <c r="R122" s="9">
        <f>Q122/Q124</f>
        <v>0.05874324398100125</v>
      </c>
      <c r="S122" s="10" t="s">
        <v>11</v>
      </c>
    </row>
    <row r="123" spans="2:19" ht="12.75">
      <c r="B123" t="s">
        <v>20</v>
      </c>
      <c r="D123" s="8">
        <v>17547</v>
      </c>
      <c r="E123" s="9">
        <f>D123/D124</f>
        <v>0.937189552956257</v>
      </c>
      <c r="F123" s="8">
        <v>17017</v>
      </c>
      <c r="G123" s="9">
        <f>F123/F124</f>
        <v>0.9304499972661162</v>
      </c>
      <c r="I123" s="8">
        <v>16569</v>
      </c>
      <c r="J123" s="9">
        <f>I123/I124</f>
        <v>0.9211140760507005</v>
      </c>
      <c r="K123" s="8">
        <v>16365</v>
      </c>
      <c r="L123" s="9">
        <f>K123/K124</f>
        <v>0.9220757268424611</v>
      </c>
      <c r="M123" s="8">
        <v>16586</v>
      </c>
      <c r="N123" s="9">
        <f>M123/M124</f>
        <v>0.9213420731029885</v>
      </c>
      <c r="O123" s="8">
        <v>16010</v>
      </c>
      <c r="P123" s="9">
        <f>O123/O124</f>
        <v>0.9284927216841616</v>
      </c>
      <c r="Q123" s="8">
        <v>16796</v>
      </c>
      <c r="R123" s="9">
        <f>Q123/Q124</f>
        <v>0.9169623846699787</v>
      </c>
      <c r="S123" s="10" t="s">
        <v>11</v>
      </c>
    </row>
    <row r="124" spans="2:19" ht="12.75">
      <c r="B124" t="s">
        <v>17</v>
      </c>
      <c r="D124" s="8">
        <v>18723</v>
      </c>
      <c r="E124" s="9"/>
      <c r="F124" s="8">
        <v>18289</v>
      </c>
      <c r="G124" s="9"/>
      <c r="I124" s="8">
        <v>17988</v>
      </c>
      <c r="K124" s="8">
        <v>17748</v>
      </c>
      <c r="M124" s="8">
        <v>18002</v>
      </c>
      <c r="O124" s="8">
        <v>17243</v>
      </c>
      <c r="Q124" s="8">
        <v>18317</v>
      </c>
      <c r="S124" s="10"/>
    </row>
    <row r="125" spans="4:19" ht="12.75">
      <c r="D125" s="8"/>
      <c r="E125" s="9"/>
      <c r="F125" s="8"/>
      <c r="G125" s="9"/>
      <c r="I125" s="8"/>
      <c r="K125" s="8"/>
      <c r="M125" s="8"/>
      <c r="O125" s="8"/>
      <c r="Q125" s="8"/>
      <c r="S125" s="10"/>
    </row>
    <row r="126" spans="1:19" ht="12.75">
      <c r="A126" s="14" t="s">
        <v>21</v>
      </c>
      <c r="B126" s="11"/>
      <c r="C126" s="11"/>
      <c r="D126" s="12">
        <f>SUM(D121:D122)</f>
        <v>1169</v>
      </c>
      <c r="E126" s="13">
        <f>D126/D124</f>
        <v>0.062436575335149284</v>
      </c>
      <c r="F126" s="12">
        <f>SUM(F121:F122)</f>
        <v>1268</v>
      </c>
      <c r="G126" s="13">
        <f>F126/F124</f>
        <v>0.06933129203346274</v>
      </c>
      <c r="H126" s="11"/>
      <c r="I126" s="12">
        <f>SUM(I121:I122)</f>
        <v>1414</v>
      </c>
      <c r="J126" s="13">
        <f>I126/I124</f>
        <v>0.07860796086279742</v>
      </c>
      <c r="K126" s="12">
        <f>SUM(K121:K122)</f>
        <v>1381</v>
      </c>
      <c r="L126" s="13">
        <f>K126/K124</f>
        <v>0.07781158440387649</v>
      </c>
      <c r="M126" s="12">
        <f>SUM(M121:M122)</f>
        <v>1412</v>
      </c>
      <c r="N126" s="13">
        <f>M126/M124</f>
        <v>0.07843572936340407</v>
      </c>
      <c r="O126" s="12">
        <f>SUM(O121:O122)</f>
        <v>1226</v>
      </c>
      <c r="P126" s="13">
        <f>O126/O124</f>
        <v>0.07110131647625123</v>
      </c>
      <c r="Q126" s="12">
        <f>SUM(Q121:Q122)</f>
        <v>1342</v>
      </c>
      <c r="R126" s="13">
        <f>Q126/Q124</f>
        <v>0.07326527269749412</v>
      </c>
      <c r="S126" s="15" t="s">
        <v>11</v>
      </c>
    </row>
    <row r="127" spans="4:19" ht="12.75">
      <c r="D127" s="8"/>
      <c r="F127" s="8"/>
      <c r="I127" s="8"/>
      <c r="K127" s="8"/>
      <c r="M127" s="8"/>
      <c r="O127" s="8"/>
      <c r="Q127" s="8"/>
      <c r="S127" s="10"/>
    </row>
    <row r="128" spans="1:19" ht="12.75">
      <c r="A128" s="54" t="s">
        <v>57</v>
      </c>
      <c r="B128" s="11"/>
      <c r="D128" s="8"/>
      <c r="F128" s="8"/>
      <c r="I128" s="8"/>
      <c r="K128" s="8"/>
      <c r="M128" s="8"/>
      <c r="O128" s="8"/>
      <c r="Q128" s="8"/>
      <c r="S128" s="10"/>
    </row>
    <row r="129" spans="1:19" ht="12.75">
      <c r="A129" s="14"/>
      <c r="B129" s="54" t="s">
        <v>55</v>
      </c>
      <c r="D129" s="8">
        <v>388</v>
      </c>
      <c r="E129" s="9">
        <f>D129/17733</f>
        <v>0.02188011052839339</v>
      </c>
      <c r="F129" s="8">
        <v>478</v>
      </c>
      <c r="G129" s="9">
        <f>F129/17733</f>
        <v>0.026955393898381547</v>
      </c>
      <c r="I129" s="8">
        <v>462</v>
      </c>
      <c r="J129" s="9">
        <f>I129/17733</f>
        <v>0.026053121299272543</v>
      </c>
      <c r="K129" s="8">
        <v>461</v>
      </c>
      <c r="L129" s="9">
        <f>K129/17733</f>
        <v>0.02599672926182823</v>
      </c>
      <c r="M129" s="8">
        <v>440</v>
      </c>
      <c r="N129" s="9">
        <f>M129/M124</f>
        <v>0.024441728696811466</v>
      </c>
      <c r="O129" s="8">
        <v>424</v>
      </c>
      <c r="P129" s="9">
        <f>O129/O124</f>
        <v>0.024589688569274487</v>
      </c>
      <c r="Q129" s="8">
        <v>425</v>
      </c>
      <c r="R129" s="9">
        <f>Q129/18410</f>
        <v>0.023085279739272133</v>
      </c>
      <c r="S129" s="56" t="s">
        <v>14</v>
      </c>
    </row>
    <row r="130" spans="1:19" ht="12.75">
      <c r="A130" s="14"/>
      <c r="B130" s="54" t="s">
        <v>56</v>
      </c>
      <c r="D130" s="8">
        <v>1633</v>
      </c>
      <c r="E130" s="9">
        <f>D130/17733</f>
        <v>0.09208819714656291</v>
      </c>
      <c r="F130" s="8">
        <v>1597</v>
      </c>
      <c r="G130" s="9">
        <f>F130/17733</f>
        <v>0.09005808379856764</v>
      </c>
      <c r="I130" s="8">
        <v>1898</v>
      </c>
      <c r="J130" s="9">
        <f>I130/17733</f>
        <v>0.10703208706930581</v>
      </c>
      <c r="K130" s="8">
        <v>1884</v>
      </c>
      <c r="L130" s="9">
        <f>K130/17733</f>
        <v>0.10624259854508543</v>
      </c>
      <c r="M130" s="8">
        <v>1848</v>
      </c>
      <c r="N130" s="9">
        <f>M130/M124</f>
        <v>0.10265526052660816</v>
      </c>
      <c r="O130" s="8">
        <v>1656</v>
      </c>
      <c r="P130" s="9">
        <f>O130/O124</f>
        <v>0.09603897233660036</v>
      </c>
      <c r="Q130" s="8">
        <v>1733</v>
      </c>
      <c r="R130" s="9">
        <f>Q130/18410</f>
        <v>0.09413362303096143</v>
      </c>
      <c r="S130" s="56" t="s">
        <v>11</v>
      </c>
    </row>
    <row r="131" spans="4:19" ht="12.75">
      <c r="D131" s="8"/>
      <c r="F131" s="8"/>
      <c r="I131" s="8"/>
      <c r="K131" s="8"/>
      <c r="M131" s="8"/>
      <c r="O131" s="8"/>
      <c r="Q131" s="8"/>
      <c r="S131" s="10"/>
    </row>
    <row r="132" spans="1:19" ht="12.75">
      <c r="A132" s="6" t="s">
        <v>22</v>
      </c>
      <c r="D132" s="8"/>
      <c r="F132" s="8"/>
      <c r="I132" s="8"/>
      <c r="K132" s="8"/>
      <c r="M132" s="8"/>
      <c r="O132" s="8"/>
      <c r="Q132" s="8"/>
      <c r="S132" s="10"/>
    </row>
    <row r="133" spans="2:19" ht="12.75">
      <c r="B133" s="11" t="s">
        <v>23</v>
      </c>
      <c r="C133" s="11"/>
      <c r="D133" s="12">
        <v>4502</v>
      </c>
      <c r="E133" s="13">
        <f>D133/D124</f>
        <v>0.24045291886983924</v>
      </c>
      <c r="F133" s="12">
        <v>4214</v>
      </c>
      <c r="G133" s="13">
        <f>F133/F124</f>
        <v>0.23041172289354256</v>
      </c>
      <c r="H133" s="11"/>
      <c r="I133" s="12">
        <v>6391</v>
      </c>
      <c r="J133" s="13">
        <f>I133/I124</f>
        <v>0.3552924171670002</v>
      </c>
      <c r="K133" s="12">
        <v>6489</v>
      </c>
      <c r="L133" s="13">
        <f>K133/K124</f>
        <v>0.3656186612576065</v>
      </c>
      <c r="M133" s="12">
        <v>6641</v>
      </c>
      <c r="N133" s="13">
        <f>M133/M124</f>
        <v>0.3689034551716476</v>
      </c>
      <c r="O133" s="12">
        <v>6412</v>
      </c>
      <c r="P133" s="13">
        <f>O133/O124</f>
        <v>0.3718610450617642</v>
      </c>
      <c r="Q133" s="12">
        <v>6749</v>
      </c>
      <c r="R133" s="13">
        <f>Q133/Q124</f>
        <v>0.36845553311131735</v>
      </c>
      <c r="S133" s="15" t="s">
        <v>14</v>
      </c>
    </row>
    <row r="134" spans="2:19" ht="12.75">
      <c r="B134" s="11" t="s">
        <v>24</v>
      </c>
      <c r="C134" s="11"/>
      <c r="D134" s="12">
        <v>684</v>
      </c>
      <c r="E134" s="13">
        <f>D134/2533</f>
        <v>0.27003553099091987</v>
      </c>
      <c r="F134" s="12">
        <v>640</v>
      </c>
      <c r="G134" s="13">
        <f>640/2342</f>
        <v>0.27327070879590093</v>
      </c>
      <c r="H134" s="11"/>
      <c r="I134" s="12">
        <v>187</v>
      </c>
      <c r="J134" s="13">
        <f>I134/2757</f>
        <v>0.06782734856728329</v>
      </c>
      <c r="K134" s="12">
        <v>200</v>
      </c>
      <c r="L134" s="13">
        <v>0.0712</v>
      </c>
      <c r="M134" s="12">
        <v>221</v>
      </c>
      <c r="N134" s="13">
        <v>0.075221</v>
      </c>
      <c r="O134" s="12">
        <v>186</v>
      </c>
      <c r="P134" s="13">
        <v>0.065058</v>
      </c>
      <c r="Q134" s="12">
        <v>171</v>
      </c>
      <c r="R134" s="13">
        <v>0.06615</v>
      </c>
      <c r="S134" s="15" t="s">
        <v>14</v>
      </c>
    </row>
    <row r="135" spans="4:19" ht="12.75">
      <c r="D135" s="8"/>
      <c r="F135" s="8"/>
      <c r="I135" s="8"/>
      <c r="K135" s="8"/>
      <c r="M135" s="8"/>
      <c r="O135" s="8"/>
      <c r="Q135" s="8"/>
      <c r="S135" s="10"/>
    </row>
    <row r="136" spans="1:19" ht="12.75">
      <c r="A136" s="53" t="s">
        <v>63</v>
      </c>
      <c r="D136" s="8">
        <v>2142</v>
      </c>
      <c r="E136" s="9">
        <v>0.11285</v>
      </c>
      <c r="F136" s="8">
        <v>2282</v>
      </c>
      <c r="G136" s="9">
        <v>0.12424</v>
      </c>
      <c r="I136" s="8">
        <v>3416</v>
      </c>
      <c r="J136" s="9">
        <v>0.19641</v>
      </c>
      <c r="K136" s="8">
        <v>3355</v>
      </c>
      <c r="L136" s="9">
        <v>0.19624</v>
      </c>
      <c r="M136" s="8">
        <v>3422</v>
      </c>
      <c r="N136" s="9">
        <v>0.19799</v>
      </c>
      <c r="O136" s="8">
        <v>3220</v>
      </c>
      <c r="P136" s="9">
        <v>0.19943</v>
      </c>
      <c r="Q136" s="8">
        <v>3623</v>
      </c>
      <c r="R136" s="9">
        <v>0.20032</v>
      </c>
      <c r="S136" s="56" t="s">
        <v>14</v>
      </c>
    </row>
    <row r="137" spans="4:19" ht="12.75">
      <c r="D137" s="8"/>
      <c r="F137" s="8"/>
      <c r="I137" s="8"/>
      <c r="J137" s="9"/>
      <c r="K137" s="8"/>
      <c r="M137" s="8"/>
      <c r="O137" s="8"/>
      <c r="Q137" s="8"/>
      <c r="S137" s="10"/>
    </row>
    <row r="138" spans="1:19" ht="12.75">
      <c r="A138" s="14" t="s">
        <v>25</v>
      </c>
      <c r="B138" s="11"/>
      <c r="C138" s="11"/>
      <c r="D138" s="12">
        <v>2432</v>
      </c>
      <c r="E138" s="13">
        <f>D138/D124</f>
        <v>0.1298937136142712</v>
      </c>
      <c r="F138" s="12">
        <v>2208</v>
      </c>
      <c r="G138" s="13">
        <f>F138/F124</f>
        <v>0.12072830663240199</v>
      </c>
      <c r="H138" s="11"/>
      <c r="I138" s="12">
        <v>1159</v>
      </c>
      <c r="J138" s="13">
        <f>I138/I124</f>
        <v>0.06443184345118969</v>
      </c>
      <c r="K138" s="12">
        <v>1126</v>
      </c>
      <c r="L138" s="13">
        <f>K138/K124</f>
        <v>0.06344376831192247</v>
      </c>
      <c r="M138" s="12">
        <v>1063</v>
      </c>
      <c r="N138" s="13">
        <f>M138/M124</f>
        <v>0.059048994556160424</v>
      </c>
      <c r="O138" s="12">
        <v>939</v>
      </c>
      <c r="P138" s="13">
        <f>O138/O124</f>
        <v>0.054456881053181</v>
      </c>
      <c r="Q138" s="12">
        <v>1512</v>
      </c>
      <c r="R138" s="13">
        <f>Q138/Q124</f>
        <v>0.08254626849374898</v>
      </c>
      <c r="S138" s="58" t="s">
        <v>11</v>
      </c>
    </row>
    <row r="139" spans="1:19" ht="12.75">
      <c r="A139" s="6"/>
      <c r="D139" s="8"/>
      <c r="E139" s="9" t="s">
        <v>16</v>
      </c>
      <c r="F139" s="8"/>
      <c r="G139" s="9" t="s">
        <v>16</v>
      </c>
      <c r="I139" s="8"/>
      <c r="K139" s="8"/>
      <c r="M139" s="8"/>
      <c r="O139" s="8"/>
      <c r="Q139" s="8"/>
      <c r="S139" s="10"/>
    </row>
    <row r="140" spans="1:19" ht="12.75">
      <c r="A140" s="14" t="s">
        <v>26</v>
      </c>
      <c r="B140" s="11"/>
      <c r="C140" s="11"/>
      <c r="D140" s="12">
        <v>932</v>
      </c>
      <c r="E140" s="13">
        <v>0.088266</v>
      </c>
      <c r="F140" s="12">
        <v>829</v>
      </c>
      <c r="G140" s="13">
        <v>0.081378</v>
      </c>
      <c r="H140" s="11"/>
      <c r="I140" s="12">
        <v>817</v>
      </c>
      <c r="J140" s="13">
        <v>0.0836</v>
      </c>
      <c r="K140" s="12">
        <v>853</v>
      </c>
      <c r="L140" s="13">
        <v>0.08909</v>
      </c>
      <c r="M140" s="12">
        <v>806</v>
      </c>
      <c r="N140" s="13">
        <v>0.08409</v>
      </c>
      <c r="O140" s="12">
        <v>740</v>
      </c>
      <c r="P140" s="13">
        <v>0.08145</v>
      </c>
      <c r="Q140" s="12">
        <v>804</v>
      </c>
      <c r="R140" s="13">
        <v>0.08595</v>
      </c>
      <c r="S140" s="15" t="s">
        <v>14</v>
      </c>
    </row>
    <row r="141" spans="1:19" ht="12.75">
      <c r="A141" s="6"/>
      <c r="D141" s="8"/>
      <c r="E141" s="9"/>
      <c r="F141" s="8"/>
      <c r="G141" s="9"/>
      <c r="I141" s="8" t="s">
        <v>16</v>
      </c>
      <c r="K141" s="8" t="s">
        <v>16</v>
      </c>
      <c r="M141" s="8" t="s">
        <v>16</v>
      </c>
      <c r="O141" s="8" t="s">
        <v>16</v>
      </c>
      <c r="Q141" s="8" t="s">
        <v>16</v>
      </c>
      <c r="S141" s="10"/>
    </row>
    <row r="142" spans="1:19" ht="12.75">
      <c r="A142" s="6" t="s">
        <v>27</v>
      </c>
      <c r="D142" s="8">
        <v>469</v>
      </c>
      <c r="E142" s="9">
        <v>0.025049</v>
      </c>
      <c r="F142" s="8">
        <v>447</v>
      </c>
      <c r="G142" s="9">
        <v>0.02441</v>
      </c>
      <c r="I142" s="8">
        <v>257</v>
      </c>
      <c r="J142" s="13">
        <f>I142/I124</f>
        <v>0.014287302646208583</v>
      </c>
      <c r="K142" s="8">
        <v>256</v>
      </c>
      <c r="L142" s="13">
        <f>K142/K124</f>
        <v>0.014424160468785216</v>
      </c>
      <c r="M142" s="8">
        <v>271</v>
      </c>
      <c r="N142" s="13">
        <f>M142/M124</f>
        <v>0.015053882901899789</v>
      </c>
      <c r="O142" s="8">
        <v>207</v>
      </c>
      <c r="P142" s="13">
        <f>O142/O124</f>
        <v>0.012004871542075045</v>
      </c>
      <c r="Q142" s="8">
        <v>192</v>
      </c>
      <c r="R142" s="13">
        <f>Q142/Q124</f>
        <v>0.01048206584047606</v>
      </c>
      <c r="S142" s="15" t="s">
        <v>14</v>
      </c>
    </row>
    <row r="143" spans="4:19" ht="12.75">
      <c r="D143" s="8"/>
      <c r="E143" t="s">
        <v>16</v>
      </c>
      <c r="F143" s="8"/>
      <c r="I143" s="8" t="s">
        <v>16</v>
      </c>
      <c r="K143" s="8" t="s">
        <v>16</v>
      </c>
      <c r="M143" s="8" t="s">
        <v>16</v>
      </c>
      <c r="O143" s="8" t="s">
        <v>16</v>
      </c>
      <c r="Q143" s="8" t="s">
        <v>16</v>
      </c>
      <c r="S143" s="10"/>
    </row>
    <row r="144" spans="1:19" ht="12.75">
      <c r="A144" s="53" t="s">
        <v>59</v>
      </c>
      <c r="D144" s="8">
        <v>2945</v>
      </c>
      <c r="E144" s="13">
        <f>D144/D124</f>
        <v>0.15729316882978156</v>
      </c>
      <c r="F144" s="8">
        <v>3012</v>
      </c>
      <c r="G144" s="13">
        <f>F144/F124</f>
        <v>0.16468915741702664</v>
      </c>
      <c r="I144" s="8">
        <v>3461</v>
      </c>
      <c r="J144" s="13">
        <f>I144/I124</f>
        <v>0.1924060484767623</v>
      </c>
      <c r="K144" s="8">
        <v>3300</v>
      </c>
      <c r="L144" s="13">
        <f>K144/K124</f>
        <v>0.18593644354293443</v>
      </c>
      <c r="M144" s="8">
        <v>3221</v>
      </c>
      <c r="N144" s="13">
        <f>M144/M124</f>
        <v>0.1789245639373403</v>
      </c>
      <c r="O144" s="8">
        <v>3065</v>
      </c>
      <c r="P144" s="13">
        <f>O144/O124</f>
        <v>0.17775329119062808</v>
      </c>
      <c r="Q144" s="8">
        <v>3140</v>
      </c>
      <c r="R144" s="13">
        <f>Q144/Q124</f>
        <v>0.1714254517661189</v>
      </c>
      <c r="S144" s="56" t="s">
        <v>14</v>
      </c>
    </row>
    <row r="145" spans="4:19" ht="12.75">
      <c r="D145" s="8"/>
      <c r="F145" s="8"/>
      <c r="I145" s="8"/>
      <c r="K145" s="8"/>
      <c r="M145" s="8"/>
      <c r="O145" s="8"/>
      <c r="Q145" s="8"/>
      <c r="S145" s="10"/>
    </row>
    <row r="146" spans="1:19" ht="12.75">
      <c r="A146" s="11" t="s">
        <v>28</v>
      </c>
      <c r="B146" s="11"/>
      <c r="C146" s="11"/>
      <c r="D146" s="12">
        <v>125</v>
      </c>
      <c r="E146" s="13">
        <f>D146/D124</f>
        <v>0.006676280510601934</v>
      </c>
      <c r="F146" s="12">
        <v>98</v>
      </c>
      <c r="G146" s="13">
        <f>F146/F124</f>
        <v>0.0053584121603149435</v>
      </c>
      <c r="H146" s="15"/>
      <c r="I146" s="12">
        <v>77</v>
      </c>
      <c r="J146" s="13">
        <f>I146/I124</f>
        <v>0.0042806315321325325</v>
      </c>
      <c r="K146" s="12">
        <v>80</v>
      </c>
      <c r="L146" s="13">
        <f>K146/K124</f>
        <v>0.00450755014649538</v>
      </c>
      <c r="M146" s="12">
        <v>76</v>
      </c>
      <c r="N146" s="13">
        <f>M146/M124</f>
        <v>0.004221753138540162</v>
      </c>
      <c r="O146" s="12">
        <v>79</v>
      </c>
      <c r="P146" s="13">
        <f>O146/O124</f>
        <v>0.004581569332482747</v>
      </c>
      <c r="Q146" s="12">
        <v>69</v>
      </c>
      <c r="R146" s="13">
        <f>Q146/Q124</f>
        <v>0.003766992411421084</v>
      </c>
      <c r="S146" s="15" t="s">
        <v>14</v>
      </c>
    </row>
    <row r="147" spans="4:19" ht="12.75">
      <c r="D147" s="8"/>
      <c r="E147" s="9"/>
      <c r="F147" s="8"/>
      <c r="G147" s="9"/>
      <c r="H147" s="10"/>
      <c r="I147" s="8"/>
      <c r="J147" s="9"/>
      <c r="K147" s="8"/>
      <c r="L147" s="9"/>
      <c r="M147" s="8"/>
      <c r="N147" s="9"/>
      <c r="O147" s="8"/>
      <c r="P147" s="9"/>
      <c r="Q147" s="8"/>
      <c r="R147" s="9"/>
      <c r="S147" s="10"/>
    </row>
    <row r="148" spans="1:19" ht="12.75">
      <c r="A148" s="11" t="s">
        <v>29</v>
      </c>
      <c r="B148" s="11"/>
      <c r="C148" s="11"/>
      <c r="D148" s="12">
        <v>1517</v>
      </c>
      <c r="E148" s="13">
        <v>0.08197</v>
      </c>
      <c r="F148" s="12">
        <v>1354</v>
      </c>
      <c r="G148" s="13">
        <v>0.07525</v>
      </c>
      <c r="H148" s="11"/>
      <c r="I148" s="12">
        <v>1641</v>
      </c>
      <c r="J148" s="13">
        <f>I148/I124</f>
        <v>0.09122748498999333</v>
      </c>
      <c r="K148" s="12">
        <v>1644</v>
      </c>
      <c r="L148" s="13">
        <f>K148/K124</f>
        <v>0.09263015551048005</v>
      </c>
      <c r="M148" s="12">
        <v>1746</v>
      </c>
      <c r="N148" s="13">
        <f>M148/M124</f>
        <v>0.09698922341962005</v>
      </c>
      <c r="O148" s="12">
        <v>1591</v>
      </c>
      <c r="P148" s="13">
        <f>O148/O124</f>
        <v>0.09226932668329177</v>
      </c>
      <c r="Q148" s="12">
        <v>3210</v>
      </c>
      <c r="R148" s="13">
        <f>Q148/Q124</f>
        <v>0.17524703827045915</v>
      </c>
      <c r="S148" s="10" t="s">
        <v>11</v>
      </c>
    </row>
    <row r="149" ht="12.75">
      <c r="D149" s="8"/>
    </row>
    <row r="150" spans="1:19" ht="12.75">
      <c r="A150" s="11" t="s">
        <v>47</v>
      </c>
      <c r="D150" s="8">
        <v>55</v>
      </c>
      <c r="E150" s="9">
        <v>0.2534562211981567</v>
      </c>
      <c r="F150">
        <v>69</v>
      </c>
      <c r="G150" s="9">
        <v>0.2623574144486692</v>
      </c>
      <c r="I150">
        <v>54</v>
      </c>
      <c r="J150" s="9">
        <f>54/263</f>
        <v>0.20532319391634982</v>
      </c>
      <c r="K150">
        <v>34</v>
      </c>
      <c r="L150" s="9">
        <f>34/278</f>
        <v>0.1223021582733813</v>
      </c>
      <c r="M150">
        <v>41</v>
      </c>
      <c r="N150" s="9">
        <f>41/261</f>
        <v>0.15708812260536398</v>
      </c>
      <c r="O150">
        <v>49</v>
      </c>
      <c r="P150" s="9">
        <f>49/205</f>
        <v>0.23902439024390243</v>
      </c>
      <c r="Q150">
        <v>32</v>
      </c>
      <c r="R150" s="9">
        <f>32/196</f>
        <v>0.16326530612244897</v>
      </c>
      <c r="S150" s="56" t="s">
        <v>14</v>
      </c>
    </row>
    <row r="151" spans="4:13" ht="12.75">
      <c r="D151" s="8"/>
      <c r="E151" s="9"/>
      <c r="G151" s="9"/>
      <c r="I151" s="9"/>
      <c r="M151" s="10"/>
    </row>
    <row r="152" spans="4:15" ht="12.75">
      <c r="D152" s="8"/>
      <c r="E152" s="9"/>
      <c r="G152" s="9"/>
      <c r="I152" s="8"/>
      <c r="J152" s="9"/>
      <c r="K152" s="10"/>
      <c r="N152" s="9"/>
      <c r="O152" s="10"/>
    </row>
    <row r="153" spans="1:11" ht="12.75">
      <c r="A153" s="11"/>
      <c r="D153" s="8"/>
      <c r="I153" s="8"/>
      <c r="K153" s="10"/>
    </row>
    <row r="154" spans="1:11" ht="12.75">
      <c r="A154" s="11"/>
      <c r="K154" s="10"/>
    </row>
    <row r="155" spans="4:14" ht="12.75">
      <c r="D155" s="4" t="s">
        <v>68</v>
      </c>
      <c r="E155" s="4"/>
      <c r="F155" s="4"/>
      <c r="G155" s="4"/>
      <c r="I155" s="62" t="s">
        <v>69</v>
      </c>
      <c r="J155" s="62"/>
      <c r="K155" s="62"/>
      <c r="L155" s="62"/>
      <c r="M155" s="62"/>
      <c r="N155" s="62"/>
    </row>
    <row r="156" spans="1:18" ht="12.75">
      <c r="A156" s="3" t="s">
        <v>73</v>
      </c>
      <c r="K156" s="10"/>
      <c r="R156" s="5"/>
    </row>
    <row r="157" spans="9:10" ht="12.75">
      <c r="I157" s="4"/>
      <c r="J157" s="4"/>
    </row>
    <row r="158" spans="4:18" ht="12.75">
      <c r="D158" s="30" t="s">
        <v>45</v>
      </c>
      <c r="E158" s="7"/>
      <c r="F158" s="30" t="s">
        <v>46</v>
      </c>
      <c r="G158" s="7"/>
      <c r="I158" s="62" t="s">
        <v>50</v>
      </c>
      <c r="J158" s="62"/>
      <c r="K158" s="62" t="s">
        <v>51</v>
      </c>
      <c r="L158" s="62"/>
      <c r="M158" s="62" t="s">
        <v>52</v>
      </c>
      <c r="N158" s="62"/>
      <c r="O158" s="62" t="s">
        <v>83</v>
      </c>
      <c r="P158" s="62"/>
      <c r="Q158" s="62" t="s">
        <v>84</v>
      </c>
      <c r="R158" s="62"/>
    </row>
    <row r="159" spans="4:18" ht="12.75">
      <c r="D159" s="7" t="s">
        <v>31</v>
      </c>
      <c r="E159" s="7" t="s">
        <v>32</v>
      </c>
      <c r="F159" s="7" t="s">
        <v>31</v>
      </c>
      <c r="G159" s="7" t="s">
        <v>32</v>
      </c>
      <c r="I159" s="7" t="s">
        <v>31</v>
      </c>
      <c r="J159" s="7" t="s">
        <v>32</v>
      </c>
      <c r="K159" s="7" t="s">
        <v>31</v>
      </c>
      <c r="L159" s="7" t="s">
        <v>32</v>
      </c>
      <c r="M159" s="7" t="s">
        <v>31</v>
      </c>
      <c r="N159" s="7" t="s">
        <v>32</v>
      </c>
      <c r="O159" s="7" t="s">
        <v>31</v>
      </c>
      <c r="P159" s="7" t="s">
        <v>32</v>
      </c>
      <c r="Q159" s="7" t="s">
        <v>31</v>
      </c>
      <c r="R159" s="7" t="s">
        <v>32</v>
      </c>
    </row>
    <row r="160" spans="4:6" ht="12.75">
      <c r="D160" s="8"/>
      <c r="F160" s="8"/>
    </row>
    <row r="161" spans="2:6" ht="12.75">
      <c r="B161" s="11"/>
      <c r="C161" s="11"/>
      <c r="D161" s="18"/>
      <c r="E161" s="31"/>
      <c r="F161" s="8"/>
    </row>
    <row r="162" spans="1:18" ht="12.75">
      <c r="A162" s="11" t="s">
        <v>34</v>
      </c>
      <c r="D162" s="32">
        <v>896</v>
      </c>
      <c r="E162" s="34">
        <f>D162*1000/381059</f>
        <v>2.351341918180649</v>
      </c>
      <c r="F162" s="12">
        <v>711</v>
      </c>
      <c r="G162" s="34">
        <f>F162*1000/381059</f>
        <v>1.8658527944491536</v>
      </c>
      <c r="H162" s="11"/>
      <c r="I162" s="12">
        <v>497</v>
      </c>
      <c r="J162" s="34">
        <f>I162*1000/(358783)</f>
        <v>1.3852384310293409</v>
      </c>
      <c r="K162" s="12">
        <v>512</v>
      </c>
      <c r="L162" s="34">
        <f>K162*1000/(389877)</f>
        <v>1.3132346868371307</v>
      </c>
      <c r="M162" s="12">
        <v>493</v>
      </c>
      <c r="N162" s="34">
        <f>M162*1000/(387485)</f>
        <v>1.2723073151218758</v>
      </c>
      <c r="O162">
        <v>556</v>
      </c>
      <c r="P162" s="34">
        <f>O162*1000/(395860)</f>
        <v>1.4045369575102309</v>
      </c>
      <c r="Q162">
        <v>507</v>
      </c>
      <c r="R162" s="34">
        <f>Q162*1000/(384192)</f>
        <v>1.3196526736631684</v>
      </c>
    </row>
    <row r="163" spans="1:7" ht="12.75">
      <c r="A163" s="11" t="s">
        <v>35</v>
      </c>
      <c r="B163" s="11"/>
      <c r="C163" s="11"/>
      <c r="D163" s="18"/>
      <c r="E163" s="19"/>
      <c r="F163" s="8"/>
      <c r="G163" s="19"/>
    </row>
    <row r="164" spans="2:7" ht="12.75">
      <c r="B164" s="11"/>
      <c r="C164" s="11"/>
      <c r="D164" s="18"/>
      <c r="E164" s="19"/>
      <c r="F164" s="8" t="s">
        <v>16</v>
      </c>
      <c r="G164" s="19"/>
    </row>
    <row r="165" spans="1:18" ht="12.75">
      <c r="A165" s="11" t="s">
        <v>36</v>
      </c>
      <c r="D165" s="18">
        <v>534</v>
      </c>
      <c r="E165" s="34">
        <f>D165*1000/310536</f>
        <v>1.7196073885153411</v>
      </c>
      <c r="F165" s="8">
        <v>502</v>
      </c>
      <c r="G165" s="36">
        <f>F165*1000/306917</f>
        <v>1.6356213569140843</v>
      </c>
      <c r="I165" s="8">
        <v>344</v>
      </c>
      <c r="J165" s="34">
        <f>I165*1000/(288385)</f>
        <v>1.192849836156527</v>
      </c>
      <c r="K165" s="8">
        <v>325</v>
      </c>
      <c r="L165" s="34">
        <f>K165*1000/(315940)</f>
        <v>1.0286763309489144</v>
      </c>
      <c r="M165" s="8">
        <v>335</v>
      </c>
      <c r="N165" s="34">
        <f>M165*1000/(313441)</f>
        <v>1.0687816845913585</v>
      </c>
      <c r="O165">
        <v>348</v>
      </c>
      <c r="P165" s="34">
        <f>O165*1000/(309435)</f>
        <v>1.1246303747152067</v>
      </c>
      <c r="Q165">
        <v>328</v>
      </c>
      <c r="R165" s="34">
        <f>Q165*1000/(310147)</f>
        <v>1.0575630265648226</v>
      </c>
    </row>
    <row r="166" spans="1:13" ht="12.75">
      <c r="A166" s="11" t="s">
        <v>35</v>
      </c>
      <c r="D166" s="18"/>
      <c r="E166" s="34"/>
      <c r="F166" s="8"/>
      <c r="G166" s="36"/>
      <c r="I166" s="8"/>
      <c r="K166" s="8"/>
      <c r="M166" s="8"/>
    </row>
    <row r="167" spans="4:7" ht="12.75">
      <c r="D167" s="18"/>
      <c r="E167" s="34"/>
      <c r="F167" s="8"/>
      <c r="G167" s="36"/>
    </row>
    <row r="168" spans="1:18" ht="12.75">
      <c r="A168" t="s">
        <v>65</v>
      </c>
      <c r="D168" s="18"/>
      <c r="E168" s="34"/>
      <c r="F168" s="8"/>
      <c r="G168" s="36"/>
      <c r="I168" s="8">
        <v>712</v>
      </c>
      <c r="J168" s="34">
        <f>I168*1000/(76000)</f>
        <v>9.368421052631579</v>
      </c>
      <c r="K168" s="8">
        <v>786</v>
      </c>
      <c r="L168" s="34">
        <f>K168*1000/(73937)</f>
        <v>10.630672058644521</v>
      </c>
      <c r="M168" s="8">
        <v>727</v>
      </c>
      <c r="N168" s="34">
        <f>M168*1000/(74044)</f>
        <v>9.81848630544001</v>
      </c>
      <c r="O168">
        <v>684</v>
      </c>
      <c r="P168" s="34">
        <f>O168*1000/(72380)</f>
        <v>9.450124343741365</v>
      </c>
      <c r="Q168">
        <v>758</v>
      </c>
      <c r="R168" s="34">
        <f>Q168*1000/(74045)</f>
        <v>10.237018029576609</v>
      </c>
    </row>
    <row r="169" spans="4:13" ht="12.75">
      <c r="D169" s="18"/>
      <c r="E169" s="34"/>
      <c r="F169" s="8"/>
      <c r="G169" s="36"/>
      <c r="I169" s="8"/>
      <c r="K169" s="8"/>
      <c r="M169" s="8"/>
    </row>
    <row r="170" spans="1:18" ht="12.75">
      <c r="A170" t="s">
        <v>37</v>
      </c>
      <c r="D170" s="18">
        <v>2106</v>
      </c>
      <c r="E170" s="34">
        <f>D170*1000/310536</f>
        <v>6.781822397403199</v>
      </c>
      <c r="F170" s="8">
        <v>2084</v>
      </c>
      <c r="G170" s="36">
        <f>F170*1000/306917</f>
        <v>6.790109378105481</v>
      </c>
      <c r="I170" s="8">
        <v>1901</v>
      </c>
      <c r="J170" s="34">
        <f>I170*1000/(288385)</f>
        <v>6.591882379458016</v>
      </c>
      <c r="K170" s="8">
        <v>1857</v>
      </c>
      <c r="L170" s="34">
        <f>K170*1000/(315940)</f>
        <v>5.877698297145027</v>
      </c>
      <c r="M170" s="8">
        <v>1741</v>
      </c>
      <c r="N170" s="34">
        <f>M170*1000/(313441)</f>
        <v>5.554474366786732</v>
      </c>
      <c r="O170">
        <v>1737</v>
      </c>
      <c r="P170" s="34">
        <f>O170*1000/(309435)</f>
        <v>5.613456784138834</v>
      </c>
      <c r="Q170">
        <v>1962</v>
      </c>
      <c r="R170" s="34">
        <f>Q170*1000/(310147)</f>
        <v>6.326032494268847</v>
      </c>
    </row>
    <row r="171" spans="4:13" ht="12.75">
      <c r="D171" s="18"/>
      <c r="E171" s="19"/>
      <c r="F171" s="8"/>
      <c r="G171" s="19"/>
      <c r="I171" s="8"/>
      <c r="K171" s="8"/>
      <c r="M171" s="8"/>
    </row>
    <row r="172" spans="4:13" ht="12.75">
      <c r="D172" s="18"/>
      <c r="E172" s="19"/>
      <c r="F172" s="8"/>
      <c r="G172" s="19"/>
      <c r="I172" s="8"/>
      <c r="K172" s="8"/>
      <c r="M172" s="8"/>
    </row>
    <row r="173" spans="1:18" ht="12.75">
      <c r="A173" t="s">
        <v>38</v>
      </c>
      <c r="D173" s="32" t="s">
        <v>33</v>
      </c>
      <c r="E173" s="33" t="s">
        <v>33</v>
      </c>
      <c r="F173" s="32" t="s">
        <v>33</v>
      </c>
      <c r="G173" s="33" t="s">
        <v>33</v>
      </c>
      <c r="I173" s="8">
        <v>1410</v>
      </c>
      <c r="J173" s="34">
        <f>I173*1000/(1307992)</f>
        <v>1.0779882445764195</v>
      </c>
      <c r="K173" s="8">
        <v>1446</v>
      </c>
      <c r="L173" s="34">
        <f>K173*1000/(1334591)</f>
        <v>1.083478009367664</v>
      </c>
      <c r="M173" s="8">
        <v>1502</v>
      </c>
      <c r="N173" s="34">
        <f>M173*1000/(1341678)</f>
        <v>1.1194936489977476</v>
      </c>
      <c r="O173">
        <v>1698</v>
      </c>
      <c r="P173" s="34">
        <f>O173*1000/(1383578)</f>
        <v>1.2272528184171763</v>
      </c>
      <c r="Q173">
        <v>1757</v>
      </c>
      <c r="R173" s="34">
        <f>Q173*1000/(1391021)</f>
        <v>1.263100988410671</v>
      </c>
    </row>
    <row r="174" spans="1:13" ht="12.75">
      <c r="A174" t="s">
        <v>35</v>
      </c>
      <c r="D174" s="18"/>
      <c r="E174" s="19"/>
      <c r="F174" s="8"/>
      <c r="G174" s="16"/>
      <c r="I174" s="8"/>
      <c r="K174" s="8"/>
      <c r="M174" s="8"/>
    </row>
    <row r="175" spans="4:13" ht="12.75">
      <c r="D175" s="18"/>
      <c r="E175" s="19"/>
      <c r="F175" s="8"/>
      <c r="G175" s="16"/>
      <c r="I175" s="8"/>
      <c r="K175" s="8"/>
      <c r="M175" s="8"/>
    </row>
    <row r="176" spans="1:18" ht="12.75">
      <c r="A176" t="s">
        <v>39</v>
      </c>
      <c r="D176" s="18">
        <v>108146</v>
      </c>
      <c r="E176" s="19">
        <f>D176*1000/381059</f>
        <v>283.80382040576393</v>
      </c>
      <c r="F176" s="8">
        <v>104493</v>
      </c>
      <c r="G176" s="19">
        <f>F176*1000/381059</f>
        <v>274.21737841121717</v>
      </c>
      <c r="I176" s="8">
        <v>92199</v>
      </c>
      <c r="J176" s="34">
        <f>I176*1000/(357628)</f>
        <v>257.80699497802186</v>
      </c>
      <c r="K176" s="8">
        <v>95297</v>
      </c>
      <c r="L176" s="34">
        <f>K176*1000/(389877)</f>
        <v>244.42837099905867</v>
      </c>
      <c r="M176" s="8">
        <v>96204</v>
      </c>
      <c r="N176" s="34">
        <f>M176*1000/(387485)</f>
        <v>248.2779978579816</v>
      </c>
      <c r="O176">
        <v>89341</v>
      </c>
      <c r="P176" s="34">
        <f>O176*1000/(395860)</f>
        <v>225.68837467791644</v>
      </c>
      <c r="Q176">
        <v>94170</v>
      </c>
      <c r="R176" s="34">
        <f>Q176*1000/(384192)</f>
        <v>245.11181909045476</v>
      </c>
    </row>
    <row r="177" spans="4:13" ht="12.75">
      <c r="D177" s="18"/>
      <c r="E177" s="19"/>
      <c r="F177" s="8"/>
      <c r="G177" s="19"/>
      <c r="I177" s="8"/>
      <c r="K177" s="8"/>
      <c r="M177" s="8"/>
    </row>
    <row r="178" spans="1:18" ht="12.75">
      <c r="A178" t="s">
        <v>40</v>
      </c>
      <c r="D178" s="32" t="s">
        <v>33</v>
      </c>
      <c r="E178" s="33" t="s">
        <v>33</v>
      </c>
      <c r="F178" s="32" t="s">
        <v>33</v>
      </c>
      <c r="G178" s="33" t="s">
        <v>33</v>
      </c>
      <c r="I178" s="8">
        <v>346636</v>
      </c>
      <c r="J178" s="34">
        <f>I178*1000/(1307992)</f>
        <v>265.0138532957388</v>
      </c>
      <c r="K178" s="8">
        <v>364184</v>
      </c>
      <c r="L178" s="34">
        <f>K178*1000/(1334591)</f>
        <v>272.8806053689857</v>
      </c>
      <c r="M178" s="8">
        <v>381060</v>
      </c>
      <c r="N178" s="34">
        <f>M178*1000/(1341678)</f>
        <v>284.0174766225577</v>
      </c>
      <c r="O178">
        <v>385909</v>
      </c>
      <c r="P178" s="34">
        <f>O178*1000/(1383578)</f>
        <v>278.9210293890189</v>
      </c>
      <c r="Q178">
        <v>397791</v>
      </c>
      <c r="R178" s="34">
        <f>Q178*1000/(1391021)</f>
        <v>285.97052093390397</v>
      </c>
    </row>
    <row r="179" spans="4:13" ht="12.75">
      <c r="D179" s="8"/>
      <c r="F179" s="8"/>
      <c r="I179" s="8"/>
      <c r="K179" s="8"/>
      <c r="M179" s="8"/>
    </row>
    <row r="180" spans="1:18" ht="12.75">
      <c r="A180" t="s">
        <v>41</v>
      </c>
      <c r="D180" s="32" t="s">
        <v>33</v>
      </c>
      <c r="E180" s="33" t="s">
        <v>33</v>
      </c>
      <c r="F180" s="32" t="s">
        <v>33</v>
      </c>
      <c r="G180" s="33" t="s">
        <v>33</v>
      </c>
      <c r="I180" s="8">
        <v>3658</v>
      </c>
      <c r="J180" s="19">
        <f>I180*1000/657826</f>
        <v>5.56074098621824</v>
      </c>
      <c r="K180" s="8">
        <v>3510</v>
      </c>
      <c r="L180" s="19">
        <f>K180*1000/668140</f>
        <v>5.253390008082138</v>
      </c>
      <c r="M180" s="8">
        <v>4188</v>
      </c>
      <c r="N180" s="19">
        <f>M180*1000/668140</f>
        <v>6.268147394258689</v>
      </c>
      <c r="O180">
        <v>3131</v>
      </c>
      <c r="P180" s="19">
        <f>O180*1000/692451</f>
        <v>4.521619580302433</v>
      </c>
      <c r="Q180">
        <v>2968</v>
      </c>
      <c r="R180" s="19">
        <f>Q180*1000/695884</f>
        <v>4.26507866253571</v>
      </c>
    </row>
    <row r="181" spans="4:13" ht="12.75">
      <c r="D181" s="8"/>
      <c r="F181" s="8"/>
      <c r="I181" s="8"/>
      <c r="K181" s="8"/>
      <c r="M181" s="8"/>
    </row>
    <row r="182" spans="1:18" ht="12.75">
      <c r="A182" t="s">
        <v>42</v>
      </c>
      <c r="D182" s="18">
        <v>3073</v>
      </c>
      <c r="E182" s="19">
        <f>D182*1000/381059</f>
        <v>8.064367985010195</v>
      </c>
      <c r="F182" s="18">
        <v>2565</v>
      </c>
      <c r="G182" s="19">
        <f>F182*1000/381059</f>
        <v>6.731241093898845</v>
      </c>
      <c r="I182" s="8">
        <v>2505</v>
      </c>
      <c r="J182" s="34">
        <f>I182*1000/(357628)</f>
        <v>7.004485107430067</v>
      </c>
      <c r="K182" s="8">
        <v>2677</v>
      </c>
      <c r="L182" s="34">
        <f>K182*1000/(389877)</f>
        <v>6.866268079419919</v>
      </c>
      <c r="M182" s="8">
        <v>2463</v>
      </c>
      <c r="N182" s="34">
        <f>M182*1000/(387485)</f>
        <v>6.35637508548718</v>
      </c>
      <c r="O182">
        <v>2466</v>
      </c>
      <c r="P182" s="34">
        <f>O182*1000/(395860)</f>
        <v>6.229475066942858</v>
      </c>
      <c r="Q182">
        <v>2822</v>
      </c>
      <c r="R182" s="34">
        <f>Q182*1000/(384192)</f>
        <v>7.345285690488089</v>
      </c>
    </row>
    <row r="183" spans="4:9" ht="12.75">
      <c r="D183" s="18"/>
      <c r="E183" s="31"/>
      <c r="F183" s="18"/>
      <c r="G183" s="31"/>
      <c r="I183" s="8"/>
    </row>
    <row r="185" spans="6:9" ht="12.75">
      <c r="F185" s="8"/>
      <c r="I185" s="8"/>
    </row>
    <row r="186" ht="12.75">
      <c r="K186" s="10"/>
    </row>
    <row r="187" ht="12.75">
      <c r="K187" s="10"/>
    </row>
    <row r="188" spans="1:11" ht="12.75">
      <c r="A188" t="s">
        <v>43</v>
      </c>
      <c r="K188" s="10"/>
    </row>
    <row r="189" spans="1:11" ht="12.75">
      <c r="A189" t="s">
        <v>44</v>
      </c>
      <c r="K189" s="10"/>
    </row>
    <row r="190" ht="12.75">
      <c r="K190" s="10"/>
    </row>
    <row r="191" ht="12.75">
      <c r="A191" s="41"/>
    </row>
    <row r="192" ht="12.75">
      <c r="A192" t="s">
        <v>89</v>
      </c>
    </row>
    <row r="194" ht="12.75">
      <c r="A194" t="s">
        <v>49</v>
      </c>
    </row>
    <row r="195" ht="12.75">
      <c r="A195" s="29">
        <v>40626</v>
      </c>
    </row>
  </sheetData>
  <sheetProtection/>
  <mergeCells count="27">
    <mergeCell ref="Q7:R7"/>
    <mergeCell ref="Q56:R56"/>
    <mergeCell ref="Q158:R158"/>
    <mergeCell ref="O110:P110"/>
    <mergeCell ref="Q109:R109"/>
    <mergeCell ref="I107:P107"/>
    <mergeCell ref="O158:P158"/>
    <mergeCell ref="K158:L158"/>
    <mergeCell ref="K110:L110"/>
    <mergeCell ref="Q110:R110"/>
    <mergeCell ref="I7:J7"/>
    <mergeCell ref="I158:J158"/>
    <mergeCell ref="O109:P109"/>
    <mergeCell ref="M158:N158"/>
    <mergeCell ref="I56:J56"/>
    <mergeCell ref="M7:N7"/>
    <mergeCell ref="M110:N110"/>
    <mergeCell ref="I4:Q4"/>
    <mergeCell ref="I53:N53"/>
    <mergeCell ref="K7:L7"/>
    <mergeCell ref="I155:N155"/>
    <mergeCell ref="K56:L56"/>
    <mergeCell ref="M56:N56"/>
    <mergeCell ref="O56:P56"/>
    <mergeCell ref="I110:J110"/>
    <mergeCell ref="O7:P7"/>
    <mergeCell ref="Q6:R6"/>
  </mergeCells>
  <printOptions/>
  <pageMargins left="0.75" right="0.23" top="0.87" bottom="1.36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Health and Senior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%FULL_NAME%</dc:creator>
  <cp:keywords/>
  <dc:description/>
  <cp:lastModifiedBy>curt4kw</cp:lastModifiedBy>
  <cp:lastPrinted>2011-03-24T14:01:09Z</cp:lastPrinted>
  <dcterms:created xsi:type="dcterms:W3CDTF">2002-01-16T13:51:14Z</dcterms:created>
  <dcterms:modified xsi:type="dcterms:W3CDTF">2011-04-21T14:13:27Z</dcterms:modified>
  <cp:category/>
  <cp:version/>
  <cp:contentType/>
  <cp:contentStatus/>
</cp:coreProperties>
</file>